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Cindy\Dropbox (Pacific Swimming)\2016-17 LSC\"/>
    </mc:Choice>
  </mc:AlternateContent>
  <bookViews>
    <workbookView xWindow="0" yWindow="1260" windowWidth="20730" windowHeight="10500"/>
  </bookViews>
  <sheets>
    <sheet name="2016-17 Planning Budget" sheetId="1" r:id="rId1"/>
    <sheet name="Sheet2" sheetId="2" state="hidden" r:id="rId2"/>
    <sheet name="Sheet3" sheetId="3" state="hidden" r:id="rId3"/>
    <sheet name="Sheet 2" sheetId="5" state="hidden" r:id="rId4"/>
  </sheets>
  <definedNames>
    <definedName name="_xlnm.Print_Area" localSheetId="0">'2016-17 Planning Budget'!$A$1:$AE$206</definedName>
    <definedName name="_xlnm.Print_Titles" localSheetId="0">'2016-17 Planning Budget'!$1:$1</definedName>
  </definedNames>
  <calcPr calcId="171027"/>
</workbook>
</file>

<file path=xl/calcChain.xml><?xml version="1.0" encoding="utf-8"?>
<calcChain xmlns="http://schemas.openxmlformats.org/spreadsheetml/2006/main">
  <c r="X9" i="1" l="1"/>
  <c r="AD165" i="1" l="1"/>
  <c r="AD130" i="1"/>
  <c r="AD166" i="1"/>
  <c r="AD80" i="1"/>
  <c r="AD136" i="1"/>
  <c r="AD29" i="1"/>
  <c r="AD188" i="1" l="1"/>
  <c r="AB147" i="1" l="1"/>
  <c r="AD32" i="1"/>
  <c r="AD118" i="1" l="1"/>
  <c r="AD164" i="1"/>
  <c r="Z147" i="1" l="1"/>
  <c r="X147" i="1"/>
  <c r="V147" i="1"/>
  <c r="AD149" i="1"/>
  <c r="AD19" i="1"/>
  <c r="AB9" i="1"/>
  <c r="AD108" i="1" l="1"/>
  <c r="AB168" i="1"/>
  <c r="AD103" i="1" l="1"/>
  <c r="Z103" i="1"/>
  <c r="X103" i="1"/>
  <c r="V103" i="1"/>
  <c r="M103" i="1"/>
  <c r="Z91" i="1"/>
  <c r="AD91" i="1"/>
  <c r="AB91" i="1"/>
  <c r="M91" i="1"/>
  <c r="X91" i="1"/>
  <c r="X84" i="1"/>
  <c r="M75" i="1"/>
  <c r="V75" i="1"/>
  <c r="X75" i="1"/>
  <c r="Z75" i="1"/>
  <c r="AB84" i="1"/>
  <c r="Z84" i="1"/>
  <c r="M84" i="1"/>
  <c r="V84" i="1"/>
  <c r="AD84" i="1"/>
  <c r="X19" i="1"/>
  <c r="X26" i="1"/>
  <c r="X28" i="1"/>
  <c r="X32" i="1" s="1"/>
  <c r="X39" i="1"/>
  <c r="X47" i="1"/>
  <c r="X55" i="1"/>
  <c r="Z96" i="1"/>
  <c r="Z109" i="1"/>
  <c r="Z115" i="1"/>
  <c r="Z121" i="1"/>
  <c r="Z131" i="1"/>
  <c r="Z152" i="1"/>
  <c r="Z168" i="1"/>
  <c r="Z185" i="1"/>
  <c r="Z5" i="1"/>
  <c r="Z6" i="1"/>
  <c r="Z7" i="1"/>
  <c r="Z12" i="1"/>
  <c r="Z13" i="1"/>
  <c r="Z14" i="1"/>
  <c r="Z15" i="1"/>
  <c r="Z26" i="1"/>
  <c r="Z28" i="1"/>
  <c r="Z29" i="1"/>
  <c r="Z31" i="1"/>
  <c r="Z39" i="1"/>
  <c r="Z55" i="1"/>
  <c r="AD75" i="1"/>
  <c r="AD96" i="1"/>
  <c r="AD109" i="1"/>
  <c r="AD115" i="1"/>
  <c r="AD121" i="1"/>
  <c r="AD131" i="1"/>
  <c r="AD144" i="1"/>
  <c r="AD146" i="1"/>
  <c r="AD152" i="1"/>
  <c r="AD168" i="1"/>
  <c r="AD185" i="1"/>
  <c r="AB75" i="1"/>
  <c r="AB96" i="1"/>
  <c r="AB101" i="1"/>
  <c r="AB103" i="1" s="1"/>
  <c r="AB109" i="1"/>
  <c r="AB115" i="1"/>
  <c r="AB121" i="1"/>
  <c r="AB131" i="1"/>
  <c r="AB152" i="1"/>
  <c r="AB180" i="1"/>
  <c r="AB185" i="1" s="1"/>
  <c r="X96" i="1"/>
  <c r="X109" i="1"/>
  <c r="X115" i="1"/>
  <c r="X121" i="1"/>
  <c r="X131" i="1"/>
  <c r="X152" i="1"/>
  <c r="X168" i="1"/>
  <c r="X185" i="1"/>
  <c r="AB35" i="1"/>
  <c r="AB39" i="1" s="1"/>
  <c r="AD55" i="1"/>
  <c r="V9" i="1"/>
  <c r="V19" i="1"/>
  <c r="M5" i="1"/>
  <c r="M9" i="1" s="1"/>
  <c r="M19" i="1"/>
  <c r="AD9" i="1"/>
  <c r="AD21" i="1" s="1"/>
  <c r="AB19" i="1"/>
  <c r="AB21" i="1" s="1"/>
  <c r="AB55" i="1"/>
  <c r="M26" i="1"/>
  <c r="M32" i="1"/>
  <c r="M39" i="1"/>
  <c r="M47" i="1"/>
  <c r="M55" i="1"/>
  <c r="V26" i="1"/>
  <c r="V28" i="1"/>
  <c r="V31" i="1"/>
  <c r="V39" i="1"/>
  <c r="V47" i="1"/>
  <c r="V55" i="1"/>
  <c r="AD26" i="1"/>
  <c r="AD39" i="1"/>
  <c r="AD47" i="1"/>
  <c r="AD56" i="1"/>
  <c r="AB26" i="1"/>
  <c r="AB32" i="1"/>
  <c r="AB47" i="1"/>
  <c r="Z175" i="1"/>
  <c r="Z201" i="1"/>
  <c r="Z206" i="1" s="1"/>
  <c r="Z45" i="1"/>
  <c r="AB188" i="1"/>
  <c r="I75" i="1"/>
  <c r="I84" i="1"/>
  <c r="I91" i="1"/>
  <c r="I96" i="1"/>
  <c r="I103" i="1"/>
  <c r="I109" i="1"/>
  <c r="I115" i="1"/>
  <c r="I121" i="1"/>
  <c r="I131" i="1"/>
  <c r="I147" i="1"/>
  <c r="I149" i="1"/>
  <c r="I152" i="1" s="1"/>
  <c r="I168" i="1"/>
  <c r="I178" i="1"/>
  <c r="I185" i="1"/>
  <c r="M96" i="1"/>
  <c r="M109" i="1"/>
  <c r="M115" i="1"/>
  <c r="M121" i="1"/>
  <c r="M131" i="1"/>
  <c r="M135" i="1"/>
  <c r="M147" i="1" s="1"/>
  <c r="M152" i="1"/>
  <c r="M168" i="1"/>
  <c r="M185" i="1"/>
  <c r="V91" i="1"/>
  <c r="V96" i="1"/>
  <c r="V109" i="1"/>
  <c r="V115" i="1"/>
  <c r="V121" i="1"/>
  <c r="V131" i="1"/>
  <c r="V152" i="1"/>
  <c r="V168" i="1"/>
  <c r="V185" i="1"/>
  <c r="T19" i="1"/>
  <c r="R19" i="1"/>
  <c r="P19" i="1"/>
  <c r="N19" i="1"/>
  <c r="K19" i="1"/>
  <c r="I19" i="1"/>
  <c r="G19" i="1"/>
  <c r="AD206" i="1"/>
  <c r="X206" i="1"/>
  <c r="AB206" i="1"/>
  <c r="X45" i="1"/>
  <c r="T96" i="1"/>
  <c r="V206" i="1"/>
  <c r="T136" i="1"/>
  <c r="T75" i="1"/>
  <c r="T79" i="1"/>
  <c r="T84" i="1" s="1"/>
  <c r="T91" i="1"/>
  <c r="T103" i="1"/>
  <c r="T109" i="1"/>
  <c r="T115" i="1"/>
  <c r="T121" i="1"/>
  <c r="T131" i="1"/>
  <c r="T144" i="1"/>
  <c r="T146" i="1"/>
  <c r="T152" i="1"/>
  <c r="T168" i="1"/>
  <c r="M206" i="1"/>
  <c r="K206" i="1"/>
  <c r="K75" i="1"/>
  <c r="K84" i="1"/>
  <c r="K91" i="1"/>
  <c r="K103" i="1"/>
  <c r="K109" i="1"/>
  <c r="K115" i="1"/>
  <c r="K121" i="1"/>
  <c r="K131" i="1"/>
  <c r="K147" i="1"/>
  <c r="K168" i="1"/>
  <c r="K9" i="1"/>
  <c r="K26" i="1"/>
  <c r="K32" i="1"/>
  <c r="K39" i="1"/>
  <c r="K47" i="1"/>
  <c r="K55" i="1"/>
  <c r="T9" i="1"/>
  <c r="T26" i="1"/>
  <c r="T28" i="1"/>
  <c r="T29" i="1"/>
  <c r="T30" i="1"/>
  <c r="T31" i="1"/>
  <c r="T39" i="1"/>
  <c r="T47" i="1"/>
  <c r="T55" i="1"/>
  <c r="T206" i="1"/>
  <c r="G52" i="1"/>
  <c r="G55" i="1" s="1"/>
  <c r="I52" i="1"/>
  <c r="I55" i="1" s="1"/>
  <c r="G193" i="1"/>
  <c r="R109" i="1"/>
  <c r="P109" i="1"/>
  <c r="G109" i="1"/>
  <c r="G135" i="1"/>
  <c r="T173" i="1"/>
  <c r="T174" i="1"/>
  <c r="P84" i="1"/>
  <c r="G84" i="1"/>
  <c r="R75" i="1"/>
  <c r="P75" i="1"/>
  <c r="G75" i="1"/>
  <c r="P91" i="1"/>
  <c r="P103" i="1"/>
  <c r="P115" i="1"/>
  <c r="P121" i="1"/>
  <c r="P131" i="1"/>
  <c r="P147" i="1"/>
  <c r="P152" i="1"/>
  <c r="P168" i="1"/>
  <c r="R178" i="1"/>
  <c r="R168" i="1"/>
  <c r="R147" i="1"/>
  <c r="I26" i="1"/>
  <c r="I9" i="1"/>
  <c r="I32" i="1"/>
  <c r="I39" i="1"/>
  <c r="I47" i="1"/>
  <c r="P55" i="1"/>
  <c r="G91" i="1"/>
  <c r="G103" i="1"/>
  <c r="G115" i="1"/>
  <c r="G121" i="1"/>
  <c r="G131" i="1"/>
  <c r="G152" i="1"/>
  <c r="G162" i="1"/>
  <c r="G168" i="1" s="1"/>
  <c r="G178" i="1"/>
  <c r="G185" i="1"/>
  <c r="P9" i="1"/>
  <c r="P26" i="1"/>
  <c r="P32" i="1"/>
  <c r="P47" i="1"/>
  <c r="P39" i="1"/>
  <c r="G9" i="1"/>
  <c r="G26" i="1"/>
  <c r="G32" i="1"/>
  <c r="G39" i="1"/>
  <c r="G47" i="1"/>
  <c r="N9" i="1"/>
  <c r="N47" i="1"/>
  <c r="N26" i="1"/>
  <c r="N32" i="1"/>
  <c r="N39" i="1"/>
  <c r="N55" i="1"/>
  <c r="N185" i="1"/>
  <c r="N84" i="1"/>
  <c r="N109" i="1"/>
  <c r="N75" i="1"/>
  <c r="N91" i="1"/>
  <c r="N103" i="1"/>
  <c r="N121" i="1"/>
  <c r="N131" i="1"/>
  <c r="N147" i="1"/>
  <c r="N149" i="1"/>
  <c r="N152" i="1" s="1"/>
  <c r="N168" i="1"/>
  <c r="N178" i="1"/>
  <c r="N206" i="1"/>
  <c r="I206" i="1"/>
  <c r="G206" i="1"/>
  <c r="G147" i="1"/>
  <c r="T147" i="1"/>
  <c r="M21" i="1" l="1"/>
  <c r="M58" i="1" s="1"/>
  <c r="M60" i="1" s="1"/>
  <c r="V32" i="1"/>
  <c r="T32" i="1"/>
  <c r="T58" i="1" s="1"/>
  <c r="T60" i="1" s="1"/>
  <c r="K58" i="1"/>
  <c r="K60" i="1" s="1"/>
  <c r="AD147" i="1"/>
  <c r="AD187" i="1" s="1"/>
  <c r="I58" i="1"/>
  <c r="I60" i="1" s="1"/>
  <c r="T187" i="1"/>
  <c r="T189" i="1" s="1"/>
  <c r="N58" i="1"/>
  <c r="N60" i="1" s="1"/>
  <c r="P58" i="1"/>
  <c r="P60" i="1" s="1"/>
  <c r="Z9" i="1"/>
  <c r="G58" i="1"/>
  <c r="G60" i="1" s="1"/>
  <c r="V21" i="1"/>
  <c r="V58" i="1" s="1"/>
  <c r="V60" i="1" s="1"/>
  <c r="Z32" i="1"/>
  <c r="Z19" i="1"/>
  <c r="I187" i="1"/>
  <c r="N187" i="1"/>
  <c r="N189" i="1" s="1"/>
  <c r="V187" i="1"/>
  <c r="G187" i="1"/>
  <c r="P187" i="1"/>
  <c r="M187" i="1"/>
  <c r="K187" i="1"/>
  <c r="AD58" i="1"/>
  <c r="AD60" i="1" s="1"/>
  <c r="Z187" i="1"/>
  <c r="X58" i="1"/>
  <c r="X60" i="1" s="1"/>
  <c r="X187" i="1"/>
  <c r="AB187" i="1"/>
  <c r="AB58" i="1"/>
  <c r="M189" i="1" l="1"/>
  <c r="G189" i="1"/>
  <c r="P189" i="1"/>
  <c r="K189" i="1"/>
  <c r="I189" i="1"/>
  <c r="AD189" i="1"/>
  <c r="V189" i="1"/>
  <c r="Z21" i="1"/>
  <c r="Z58" i="1" s="1"/>
  <c r="Z60" i="1" s="1"/>
  <c r="Z189" i="1" s="1"/>
  <c r="X189" i="1"/>
  <c r="AB60" i="1"/>
  <c r="AB189" i="1" s="1"/>
</calcChain>
</file>

<file path=xl/sharedStrings.xml><?xml version="1.0" encoding="utf-8"?>
<sst xmlns="http://schemas.openxmlformats.org/spreadsheetml/2006/main" count="256" uniqueCount="254">
  <si>
    <t>Income</t>
  </si>
  <si>
    <t>11000 · Membership</t>
  </si>
  <si>
    <t>11005 · Athlete</t>
  </si>
  <si>
    <t>11010 · Non-Athlete</t>
  </si>
  <si>
    <t>11015 · Club</t>
  </si>
  <si>
    <t>Total 11000 · Membership</t>
  </si>
  <si>
    <t>11500 · Meet Fees LSC</t>
  </si>
  <si>
    <t>11505 · Entry Fees</t>
  </si>
  <si>
    <t>11510 · Sanctions</t>
  </si>
  <si>
    <t>11515 · Late Payment Penalty</t>
  </si>
  <si>
    <t>Total 11500 · Meet Fees LSC</t>
  </si>
  <si>
    <t>12500 · Age Group Program - Co-Pay</t>
  </si>
  <si>
    <t>12505 · Western Zone</t>
  </si>
  <si>
    <t>12520 · NACC</t>
  </si>
  <si>
    <t>Total 12500 · Age Group Program - Co-Pay</t>
  </si>
  <si>
    <t>13000 · Camp Program - Co-Pay</t>
  </si>
  <si>
    <t>13005 · SR Olympic Training Center</t>
  </si>
  <si>
    <t>13010 · 11/12 JO Camp</t>
  </si>
  <si>
    <t>13030 · 13-18 Junior Leadership Camp</t>
  </si>
  <si>
    <t>13035 · Diversity Camp</t>
  </si>
  <si>
    <t>Total 13000 · Camp Program - Co-Pay</t>
  </si>
  <si>
    <t>14000 · Marketing Income</t>
  </si>
  <si>
    <t>14015 · Swimming World Sponsorships</t>
  </si>
  <si>
    <t>14035 · Website Ads</t>
  </si>
  <si>
    <t>12005 · Swim Guide Sales</t>
  </si>
  <si>
    <t>12006 · Swim Guide Reimburse to LSC</t>
  </si>
  <si>
    <t>12010 · Swim Guide Ads</t>
  </si>
  <si>
    <t>Total 14000 · Marketing Income</t>
  </si>
  <si>
    <t>16000 · Other Income</t>
  </si>
  <si>
    <t>16005 · Meet Reg Surcharge</t>
  </si>
  <si>
    <t>16006 · Meet Reg Rebate</t>
  </si>
  <si>
    <t>16010 · Awards Banquet</t>
  </si>
  <si>
    <t>16040 · Fines</t>
  </si>
  <si>
    <t>16050 · Contributions</t>
  </si>
  <si>
    <t>16060 · Returned Check Fee</t>
  </si>
  <si>
    <t>Total 16000 · Other Income</t>
  </si>
  <si>
    <t>17000 · Interest Income</t>
  </si>
  <si>
    <t>Total Income</t>
  </si>
  <si>
    <t>Gross Profit</t>
  </si>
  <si>
    <t>Expense</t>
  </si>
  <si>
    <t>51000 · USA SWIM FEES</t>
  </si>
  <si>
    <t>51015 · Annual Athlete</t>
  </si>
  <si>
    <t>51020 · Seasonal</t>
  </si>
  <si>
    <t>51030 · Non-Athlete</t>
  </si>
  <si>
    <t>51040 · Club / Organization</t>
  </si>
  <si>
    <t>Total 51000 · USA SWIM FEES</t>
  </si>
  <si>
    <t>52000 · NATIONAL/SENIOR PROGRAM</t>
  </si>
  <si>
    <t>52010 · Meet Support</t>
  </si>
  <si>
    <t>52020 · Sr. National Champs</t>
  </si>
  <si>
    <t>52035 · Jr. - Champ Meets</t>
  </si>
  <si>
    <t>52040 · Open Water Programs</t>
  </si>
  <si>
    <t>52060 · Club-Coach Travel</t>
  </si>
  <si>
    <t>Total 52000 · NATIONAL/SENIOR PROGRAM</t>
  </si>
  <si>
    <t>54000 · AGE GROUP PROGRAMS</t>
  </si>
  <si>
    <t>54010 · Pac Coast All Star Meet</t>
  </si>
  <si>
    <t>54015 · Western Zone Meet</t>
  </si>
  <si>
    <t>54020 · NACC Meet</t>
  </si>
  <si>
    <t>Total 54000 · AGE GROUP PROGRAMS</t>
  </si>
  <si>
    <t>54500 · CAMP PROGRAM</t>
  </si>
  <si>
    <t>54510 · SR Olympic Training Center</t>
  </si>
  <si>
    <t>54515 · 11/12 JO Camp</t>
  </si>
  <si>
    <t>54535 · 13-18 Jr. Leadership Camp</t>
  </si>
  <si>
    <t>54550 · Diversity Camp</t>
  </si>
  <si>
    <t>Total 54500 · CAMP PROGRAM</t>
  </si>
  <si>
    <t>55000 · DIVERSITY</t>
  </si>
  <si>
    <t>55100 · Diversity Program Grants</t>
  </si>
  <si>
    <t>55200 · Awareness Fund</t>
  </si>
  <si>
    <t>Total 55000 · DIVERSITY</t>
  </si>
  <si>
    <t>55500 · EVENTS</t>
  </si>
  <si>
    <t>55515 · Banquet - Venue &amp; Food</t>
  </si>
  <si>
    <t>55520 · Awards</t>
  </si>
  <si>
    <t>Total 55500 · EVENTS</t>
  </si>
  <si>
    <t>56000 · CHAIRMAN</t>
  </si>
  <si>
    <t>56030 · Contingency</t>
  </si>
  <si>
    <t>Total 56000 · CHAIRMAN</t>
  </si>
  <si>
    <t>57000 · TREASURER</t>
  </si>
  <si>
    <t>57200 · Fees-Filing</t>
  </si>
  <si>
    <t>57300 · Fees-Accounting &amp; Audit</t>
  </si>
  <si>
    <t>57500 · Bank Service Charges</t>
  </si>
  <si>
    <t>57700 · Insurance</t>
  </si>
  <si>
    <t>Total 57000 · TREASURER</t>
  </si>
  <si>
    <t>58000 · OFFICIALS</t>
  </si>
  <si>
    <t>58300 · Supplies/Copying</t>
  </si>
  <si>
    <t>58400 · Rule Books</t>
  </si>
  <si>
    <t>58600 · Clinics</t>
  </si>
  <si>
    <t>58700 · Motivational(Recruit/Retain)</t>
  </si>
  <si>
    <t>58800 · National Evaluators</t>
  </si>
  <si>
    <t>58900 · Officials to National Meets</t>
  </si>
  <si>
    <t>58950 · Lodging for Officials</t>
  </si>
  <si>
    <t>Total 58000 · OFFICIALS</t>
  </si>
  <si>
    <t>59000 · VOLUNTEERS</t>
  </si>
  <si>
    <t>59200 · Background Reimbursement</t>
  </si>
  <si>
    <t>59300 · Coach / Manager Stipend</t>
  </si>
  <si>
    <t>59400 · Seminars / Clinics</t>
  </si>
  <si>
    <t>59500 · Meetings</t>
  </si>
  <si>
    <t>59505 · Board of Directors</t>
  </si>
  <si>
    <t>59510 · House of Delegates</t>
  </si>
  <si>
    <t>59515 · Zone 4 HOD/BOD Attendance</t>
  </si>
  <si>
    <t>60200 · USAS Convention</t>
  </si>
  <si>
    <t>60205 · Delegates</t>
  </si>
  <si>
    <t>60210 · Hospitality</t>
  </si>
  <si>
    <t>60215 · Athletes</t>
  </si>
  <si>
    <t>Total 59000 · VOLUNTEERS</t>
  </si>
  <si>
    <t>62000 · MARKETING</t>
  </si>
  <si>
    <t>62100 · WEB SITE/INTERNET</t>
  </si>
  <si>
    <t>62300 · Swimming World</t>
  </si>
  <si>
    <t>Total 62000 · MARKETING</t>
  </si>
  <si>
    <t>63000 · OFFICE EXPENSES</t>
  </si>
  <si>
    <t>63100 · Telephone &amp; Internet</t>
  </si>
  <si>
    <t>63150 · Conference Call Services</t>
  </si>
  <si>
    <t>63300 · Postage</t>
  </si>
  <si>
    <t>63400 · Supplies/Copying</t>
  </si>
  <si>
    <t>63500 · Mileage</t>
  </si>
  <si>
    <t>63600 · Repair &amp; Maintenance</t>
  </si>
  <si>
    <t>63625 · Equipment Purchases</t>
  </si>
  <si>
    <t>63650 · Computer Purchases</t>
  </si>
  <si>
    <t>63675 · Software Purchases</t>
  </si>
  <si>
    <t>63700 · Storage Rental</t>
  </si>
  <si>
    <t>Total 63000 · OFFICE EXPENSES</t>
  </si>
  <si>
    <t>70000 · STAFF EXPENSES</t>
  </si>
  <si>
    <t>70100 · Payroll</t>
  </si>
  <si>
    <t>70105 · Salary &amp; Wages</t>
  </si>
  <si>
    <t>70110 · Employer Taxes</t>
  </si>
  <si>
    <t>70150 · Payroll Processing</t>
  </si>
  <si>
    <t>Total 70000 · STAFF EXPENSES</t>
  </si>
  <si>
    <t>70200 · CONTRACTORS</t>
  </si>
  <si>
    <t>70205 · Registration Contractor</t>
  </si>
  <si>
    <t>70210 · Membership Contractor</t>
  </si>
  <si>
    <t>70215 · Swim Guide Contractor</t>
  </si>
  <si>
    <t>Total 70200 · CONTRACTORS</t>
  </si>
  <si>
    <t>Total Expense</t>
  </si>
  <si>
    <t>Other Income</t>
  </si>
  <si>
    <t>88000 · Annual Grant Awards</t>
  </si>
  <si>
    <t>Total Other Expense</t>
  </si>
  <si>
    <t>12510 · Pacific Coast</t>
  </si>
  <si>
    <t>12515 · Zone All-Star Meet</t>
  </si>
  <si>
    <t>18000 · Point Redemption from CC</t>
  </si>
  <si>
    <t>89100 · Website Upgrade</t>
  </si>
  <si>
    <t>12010 · Marketing</t>
  </si>
  <si>
    <t>51050 · Reimb Board Memberships</t>
  </si>
  <si>
    <t>52070 · Club Development/Education</t>
  </si>
  <si>
    <t>55300 · Fred Siegrist Scholarship</t>
  </si>
  <si>
    <t>55400 · Diversity Camp Donation</t>
  </si>
  <si>
    <t>56075 · Travel Expenses</t>
  </si>
  <si>
    <t>58500 · Equipment</t>
  </si>
  <si>
    <t>59525 · Travel</t>
  </si>
  <si>
    <t>70200 · CONTRACTORS - Other</t>
  </si>
  <si>
    <t xml:space="preserve"> </t>
  </si>
  <si>
    <t>*</t>
  </si>
  <si>
    <t>70115 · PTO Expense</t>
  </si>
  <si>
    <t>2014 Budget</t>
  </si>
  <si>
    <t xml:space="preserve">                                                       </t>
  </si>
  <si>
    <t>56020 · Volunteer Recognition</t>
  </si>
  <si>
    <t>2012 Actuals</t>
  </si>
  <si>
    <t>70130 - Employee Medical Insurance</t>
  </si>
  <si>
    <t>51070 - Athlete Cards</t>
  </si>
  <si>
    <t>Zone Expense</t>
  </si>
  <si>
    <t>54150 · ZAM-Host Zone</t>
  </si>
  <si>
    <t>54175 · ZAM Expenses</t>
  </si>
  <si>
    <t>YTD 8-31-13</t>
  </si>
  <si>
    <t>9-1 to 12-31-2012</t>
  </si>
  <si>
    <t>52080 - USAS/PC Coach Mentor Program</t>
  </si>
  <si>
    <t>2 athletes</t>
  </si>
  <si>
    <t>62200 · Website Maintenace</t>
  </si>
  <si>
    <t>Deposits</t>
  </si>
  <si>
    <t>Withdrawals</t>
  </si>
  <si>
    <t>Dividend and Interest</t>
  </si>
  <si>
    <t>Investment Portfolio</t>
  </si>
  <si>
    <t>Wells Fargo Investment Fee</t>
  </si>
  <si>
    <t>Foreign Tax</t>
  </si>
  <si>
    <t>Year End Balance</t>
  </si>
  <si>
    <t xml:space="preserve">Olympic Trials, Grants Special  Improvements    </t>
  </si>
  <si>
    <t>2013 Actual</t>
  </si>
  <si>
    <t>89110 - Pilot Sectionals Program</t>
  </si>
  <si>
    <t>2011 Actuals</t>
  </si>
  <si>
    <t>2013 Budget</t>
  </si>
  <si>
    <t>52005 - Trials</t>
  </si>
  <si>
    <t>59100 - Officials Background Check</t>
  </si>
  <si>
    <t xml:space="preserve"> 63450 - Athlete Cards</t>
  </si>
  <si>
    <t>63450 Donations to other organizations</t>
  </si>
  <si>
    <t>$600/month</t>
  </si>
  <si>
    <t>52090 - Int'l All Star Meet</t>
  </si>
  <si>
    <t>Moved to 52000</t>
  </si>
  <si>
    <t>54600- DISABILITY</t>
  </si>
  <si>
    <t xml:space="preserve">Total 54600 DISABILITY </t>
  </si>
  <si>
    <t>54610 - Travel</t>
  </si>
  <si>
    <t>54620- Grants/Programs</t>
  </si>
  <si>
    <t>54615- Meet</t>
  </si>
  <si>
    <t>56200 - Legal Counsel</t>
  </si>
  <si>
    <t>11030 - Overpayments</t>
  </si>
  <si>
    <t>2015-16 Budget</t>
  </si>
  <si>
    <t>2014 grant still in use</t>
  </si>
  <si>
    <t>Feb/Mar $60 co-pay</t>
  </si>
  <si>
    <t>Apr/May $15 co-pay</t>
  </si>
  <si>
    <t>$300 co-pay</t>
  </si>
  <si>
    <t xml:space="preserve">Equipment </t>
  </si>
  <si>
    <t>52095 - Sectionals</t>
  </si>
  <si>
    <t>54300 - Medals</t>
  </si>
  <si>
    <t>ticket $25</t>
  </si>
  <si>
    <t>70220 - Email Administrator</t>
  </si>
  <si>
    <t>Sept $60 co-pay</t>
  </si>
  <si>
    <t>Nov/Dec $15 co-pay</t>
  </si>
  <si>
    <t>Jan-Aug 14 Actuals</t>
  </si>
  <si>
    <t>51045 - Volunteer(s) of the Year</t>
  </si>
  <si>
    <t>63800 - Office Lease</t>
  </si>
  <si>
    <t>Net ordinary Income</t>
  </si>
  <si>
    <t>88100 - Board Designated Fund</t>
  </si>
  <si>
    <t>Not Participating</t>
  </si>
  <si>
    <t>2015-16 Explanations</t>
  </si>
  <si>
    <t>13015 · Adam Szmidt 10 &amp; Under</t>
  </si>
  <si>
    <t>LSC Savings Account</t>
  </si>
  <si>
    <t>89115 - Special Projects - Time Verification</t>
  </si>
  <si>
    <t>89200 - Special Projects - OME Discovery</t>
  </si>
  <si>
    <t>89000 - Olympic Trials</t>
  </si>
  <si>
    <t>54520 · Adam Szmidt 10 &amp; Under</t>
  </si>
  <si>
    <t>Estimate **</t>
  </si>
  <si>
    <t>No-Show Fines</t>
  </si>
  <si>
    <t>54030 · JO/FW Signing Bonus</t>
  </si>
  <si>
    <t>Total Membership - USA Swim Dues</t>
  </si>
  <si>
    <t>52100 - Futures</t>
  </si>
  <si>
    <t>2014-15 Actuals</t>
  </si>
  <si>
    <t>2016-17 Budget</t>
  </si>
  <si>
    <t>YTD   Actuals</t>
  </si>
  <si>
    <t>Not Attending</t>
  </si>
  <si>
    <t>Pacifica, CA</t>
  </si>
  <si>
    <t>Roseville, CA</t>
  </si>
  <si>
    <t>Host - Zone 3</t>
  </si>
  <si>
    <t>63850 - Other office/lease expenses</t>
  </si>
  <si>
    <t>Roseville  72 athletes@$500</t>
  </si>
  <si>
    <t xml:space="preserve">Pacifica 32 athletes@ $115 </t>
  </si>
  <si>
    <t>PAC-100 WZ-200  OTC-200</t>
  </si>
  <si>
    <t>55150 - MEFAP</t>
  </si>
  <si>
    <t>10 Ads @ $50/month</t>
  </si>
  <si>
    <t>55505 · FW/JO/Speedo</t>
  </si>
  <si>
    <t>Awards, CC Fees</t>
  </si>
  <si>
    <t>Atlanta, GA (15 Delegates)</t>
  </si>
  <si>
    <t>conference rooms, parking</t>
  </si>
  <si>
    <t>55510 - Host PAC All Star Meet</t>
  </si>
  <si>
    <t xml:space="preserve">Zone 3 - 294 athletes @$65  </t>
  </si>
  <si>
    <t>No Camps Chair</t>
  </si>
  <si>
    <t>A Medals Move?</t>
  </si>
  <si>
    <t>World Trials</t>
  </si>
  <si>
    <t>75000 - Misc.</t>
  </si>
  <si>
    <t>December 31 Amount</t>
  </si>
  <si>
    <t>includes Rightnetworks hosting</t>
  </si>
  <si>
    <t>17130 AA, 2294 SA, 340 O</t>
  </si>
  <si>
    <t>1555 NA</t>
  </si>
  <si>
    <t>126 Club, 8 SC, 6 L</t>
  </si>
  <si>
    <t>52015 · Pro Swim Series, Other</t>
  </si>
  <si>
    <t>even years</t>
  </si>
  <si>
    <t>$4000 2-FW; $2000 6-JO</t>
  </si>
  <si>
    <t>Coming - New program</t>
  </si>
  <si>
    <t>Records, Apparel, Dropbox</t>
  </si>
  <si>
    <t>added towels $25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</si>
</sst>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&quot;$&quot;#,##0_);[Red]\(&quot;$&quot;#,##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21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sz val="8"/>
      <name val="Arial"/>
      <family val="2"/>
    </font>
    <font>
      <b/>
      <i/>
      <sz val="8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i/>
      <sz val="8"/>
      <color rgb="FF000000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Arial"/>
      <family val="2"/>
    </font>
    <font>
      <i/>
      <sz val="8"/>
      <color theme="1"/>
      <name val="Arial"/>
      <family val="2"/>
    </font>
    <font>
      <sz val="7"/>
      <color theme="1"/>
      <name val="Arial"/>
      <family val="2"/>
    </font>
    <font>
      <sz val="9"/>
      <name val="Calibri"/>
      <family val="2"/>
      <scheme val="minor"/>
    </font>
    <font>
      <b/>
      <sz val="8"/>
      <color rgb="FFFF0000"/>
      <name val="Arial"/>
      <family val="2"/>
    </font>
    <font>
      <b/>
      <sz val="8"/>
      <name val="Arial"/>
      <family val="2"/>
    </font>
    <font>
      <sz val="8"/>
      <color rgb="FFFF0000"/>
      <name val="Arial"/>
      <family val="2"/>
    </font>
    <font>
      <sz val="8"/>
      <color indexed="6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/>
      <bottom style="medium">
        <color indexed="64"/>
      </bottom>
      <diagonal/>
    </border>
  </borders>
  <cellStyleXfs count="257">
    <xf numFmtId="0" fontId="0" fillId="0" borderId="0"/>
    <xf numFmtId="43" fontId="7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44" fontId="7" fillId="0" borderId="0" applyFont="0" applyFill="0" applyBorder="0" applyAlignment="0" applyProtection="0"/>
  </cellStyleXfs>
  <cellXfs count="175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3" fillId="0" borderId="0" xfId="0" applyFont="1" applyFill="1"/>
    <xf numFmtId="49" fontId="4" fillId="0" borderId="0" xfId="0" applyNumberFormat="1" applyFont="1" applyAlignment="1">
      <alignment horizontal="center"/>
    </xf>
    <xf numFmtId="49" fontId="4" fillId="0" borderId="0" xfId="0" applyNumberFormat="1" applyFont="1"/>
    <xf numFmtId="49" fontId="4" fillId="0" borderId="0" xfId="0" applyNumberFormat="1" applyFont="1" applyBorder="1"/>
    <xf numFmtId="0" fontId="4" fillId="0" borderId="0" xfId="0" applyNumberFormat="1" applyFont="1"/>
    <xf numFmtId="38" fontId="3" fillId="0" borderId="0" xfId="0" applyNumberFormat="1" applyFont="1"/>
    <xf numFmtId="38" fontId="3" fillId="0" borderId="1" xfId="0" applyNumberFormat="1" applyFont="1" applyBorder="1"/>
    <xf numFmtId="38" fontId="1" fillId="0" borderId="1" xfId="0" applyNumberFormat="1" applyFont="1" applyBorder="1"/>
    <xf numFmtId="38" fontId="1" fillId="0" borderId="2" xfId="0" applyNumberFormat="1" applyFont="1" applyBorder="1"/>
    <xf numFmtId="0" fontId="8" fillId="0" borderId="0" xfId="0" applyFont="1"/>
    <xf numFmtId="43" fontId="4" fillId="0" borderId="0" xfId="1" applyFont="1" applyBorder="1"/>
    <xf numFmtId="43" fontId="3" fillId="0" borderId="0" xfId="1" applyFont="1" applyBorder="1"/>
    <xf numFmtId="43" fontId="4" fillId="0" borderId="0" xfId="1" applyFont="1" applyFill="1" applyBorder="1"/>
    <xf numFmtId="43" fontId="3" fillId="0" borderId="0" xfId="1" applyFont="1" applyFill="1" applyBorder="1"/>
    <xf numFmtId="49" fontId="4" fillId="0" borderId="0" xfId="0" applyNumberFormat="1" applyFont="1" applyBorder="1" applyAlignment="1">
      <alignment horizontal="center"/>
    </xf>
    <xf numFmtId="0" fontId="4" fillId="0" borderId="0" xfId="0" applyNumberFormat="1" applyFont="1" applyBorder="1"/>
    <xf numFmtId="38" fontId="1" fillId="0" borderId="0" xfId="0" applyNumberFormat="1" applyFont="1" applyBorder="1"/>
    <xf numFmtId="0" fontId="13" fillId="0" borderId="0" xfId="0" applyFont="1"/>
    <xf numFmtId="49" fontId="4" fillId="0" borderId="0" xfId="0" applyNumberFormat="1" applyFont="1" applyBorder="1" applyAlignment="1">
      <alignment horizontal="right"/>
    </xf>
    <xf numFmtId="43" fontId="4" fillId="0" borderId="0" xfId="0" applyNumberFormat="1" applyFont="1"/>
    <xf numFmtId="43" fontId="4" fillId="0" borderId="0" xfId="0" applyNumberFormat="1" applyFont="1" applyAlignment="1">
      <alignment horizontal="right"/>
    </xf>
    <xf numFmtId="2" fontId="3" fillId="0" borderId="0" xfId="0" applyNumberFormat="1" applyFont="1"/>
    <xf numFmtId="43" fontId="4" fillId="0" borderId="0" xfId="1" applyFont="1" applyFill="1" applyBorder="1" applyAlignment="1">
      <alignment horizontal="right"/>
    </xf>
    <xf numFmtId="2" fontId="3" fillId="0" borderId="0" xfId="0" applyNumberFormat="1" applyFont="1" applyAlignment="1">
      <alignment horizontal="right"/>
    </xf>
    <xf numFmtId="49" fontId="4" fillId="0" borderId="0" xfId="0" applyNumberFormat="1" applyFont="1" applyFill="1"/>
    <xf numFmtId="49" fontId="4" fillId="0" borderId="0" xfId="0" applyNumberFormat="1" applyFont="1" applyFill="1" applyBorder="1"/>
    <xf numFmtId="0" fontId="1" fillId="0" borderId="0" xfId="0" applyFont="1" applyFill="1"/>
    <xf numFmtId="0" fontId="6" fillId="0" borderId="0" xfId="0" applyFont="1" applyFill="1"/>
    <xf numFmtId="0" fontId="3" fillId="0" borderId="0" xfId="0" applyFont="1"/>
    <xf numFmtId="0" fontId="3" fillId="0" borderId="0" xfId="0" applyFont="1"/>
    <xf numFmtId="0" fontId="3" fillId="0" borderId="0" xfId="0" applyFont="1"/>
    <xf numFmtId="0" fontId="3" fillId="0" borderId="0" xfId="0" applyFont="1"/>
    <xf numFmtId="0" fontId="3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41" fontId="4" fillId="0" borderId="0" xfId="1" applyNumberFormat="1" applyFont="1" applyBorder="1"/>
    <xf numFmtId="41" fontId="3" fillId="0" borderId="0" xfId="1" applyNumberFormat="1" applyFont="1" applyBorder="1"/>
    <xf numFmtId="41" fontId="3" fillId="0" borderId="0" xfId="1" applyNumberFormat="1" applyFont="1" applyFill="1" applyBorder="1"/>
    <xf numFmtId="41" fontId="3" fillId="0" borderId="0" xfId="0" applyNumberFormat="1" applyFont="1"/>
    <xf numFmtId="41" fontId="1" fillId="0" borderId="0" xfId="1" applyNumberFormat="1" applyFont="1" applyFill="1" applyBorder="1"/>
    <xf numFmtId="41" fontId="4" fillId="0" borderId="0" xfId="1" applyNumberFormat="1" applyFont="1" applyFill="1" applyBorder="1"/>
    <xf numFmtId="41" fontId="2" fillId="0" borderId="0" xfId="1" applyNumberFormat="1" applyFont="1" applyFill="1" applyBorder="1"/>
    <xf numFmtId="41" fontId="5" fillId="0" borderId="0" xfId="1" applyNumberFormat="1" applyFont="1" applyFill="1" applyBorder="1"/>
    <xf numFmtId="41" fontId="1" fillId="0" borderId="0" xfId="1" applyNumberFormat="1" applyFont="1" applyBorder="1"/>
    <xf numFmtId="41" fontId="14" fillId="0" borderId="0" xfId="1" applyNumberFormat="1" applyFont="1" applyBorder="1"/>
    <xf numFmtId="41" fontId="6" fillId="0" borderId="0" xfId="1" applyNumberFormat="1" applyFont="1" applyFill="1" applyBorder="1"/>
    <xf numFmtId="41" fontId="6" fillId="0" borderId="0" xfId="0" applyNumberFormat="1" applyFont="1"/>
    <xf numFmtId="41" fontId="9" fillId="0" borderId="0" xfId="1" applyNumberFormat="1" applyFont="1" applyBorder="1"/>
    <xf numFmtId="41" fontId="14" fillId="0" borderId="0" xfId="1" applyNumberFormat="1" applyFont="1" applyFill="1" applyBorder="1"/>
    <xf numFmtId="41" fontId="3" fillId="0" borderId="0" xfId="0" applyNumberFormat="1" applyFont="1" applyFill="1"/>
    <xf numFmtId="41" fontId="4" fillId="0" borderId="0" xfId="0" applyNumberFormat="1" applyFont="1"/>
    <xf numFmtId="41" fontId="4" fillId="0" borderId="0" xfId="0" applyNumberFormat="1" applyFont="1" applyBorder="1"/>
    <xf numFmtId="41" fontId="4" fillId="0" borderId="1" xfId="1" applyNumberFormat="1" applyFont="1" applyBorder="1"/>
    <xf numFmtId="41" fontId="3" fillId="0" borderId="1" xfId="1" applyNumberFormat="1" applyFont="1" applyFill="1" applyBorder="1"/>
    <xf numFmtId="41" fontId="3" fillId="0" borderId="1" xfId="0" applyNumberFormat="1" applyFont="1" applyBorder="1"/>
    <xf numFmtId="41" fontId="4" fillId="0" borderId="1" xfId="1" applyNumberFormat="1" applyFont="1" applyFill="1" applyBorder="1"/>
    <xf numFmtId="41" fontId="3" fillId="0" borderId="1" xfId="0" applyNumberFormat="1" applyFont="1" applyFill="1" applyBorder="1"/>
    <xf numFmtId="41" fontId="5" fillId="0" borderId="1" xfId="1" applyNumberFormat="1" applyFont="1" applyFill="1" applyBorder="1"/>
    <xf numFmtId="0" fontId="3" fillId="0" borderId="0" xfId="0" applyFont="1"/>
    <xf numFmtId="0" fontId="3" fillId="0" borderId="0" xfId="0" applyFont="1"/>
    <xf numFmtId="41" fontId="1" fillId="0" borderId="0" xfId="0" applyNumberFormat="1" applyFont="1"/>
    <xf numFmtId="41" fontId="3" fillId="0" borderId="0" xfId="0" applyNumberFormat="1" applyFont="1" applyAlignment="1"/>
    <xf numFmtId="41" fontId="1" fillId="0" borderId="1" xfId="0" applyNumberFormat="1" applyFont="1" applyBorder="1"/>
    <xf numFmtId="41" fontId="1" fillId="0" borderId="0" xfId="0" applyNumberFormat="1" applyFont="1" applyFill="1"/>
    <xf numFmtId="43" fontId="4" fillId="0" borderId="0" xfId="1" applyFont="1" applyBorder="1" applyAlignment="1">
      <alignment horizontal="center"/>
    </xf>
    <xf numFmtId="43" fontId="3" fillId="0" borderId="0" xfId="1" applyFont="1" applyBorder="1" applyAlignment="1">
      <alignment horizontal="center"/>
    </xf>
    <xf numFmtId="43" fontId="3" fillId="0" borderId="0" xfId="1" applyFont="1" applyFill="1" applyBorder="1" applyAlignment="1">
      <alignment horizontal="center"/>
    </xf>
    <xf numFmtId="41" fontId="3" fillId="0" borderId="1" xfId="1" applyNumberFormat="1" applyFont="1" applyBorder="1"/>
    <xf numFmtId="0" fontId="15" fillId="0" borderId="0" xfId="0" applyFont="1"/>
    <xf numFmtId="0" fontId="15" fillId="0" borderId="0" xfId="0" applyFont="1" applyFill="1"/>
    <xf numFmtId="0" fontId="3" fillId="0" borderId="0" xfId="0" applyFont="1"/>
    <xf numFmtId="41" fontId="3" fillId="0" borderId="0" xfId="0" applyNumberFormat="1" applyFont="1" applyBorder="1"/>
    <xf numFmtId="41" fontId="1" fillId="0" borderId="0" xfId="0" applyNumberFormat="1" applyFont="1" applyFill="1" applyBorder="1"/>
    <xf numFmtId="41" fontId="3" fillId="0" borderId="0" xfId="0" applyNumberFormat="1" applyFont="1" applyFill="1" applyBorder="1"/>
    <xf numFmtId="41" fontId="1" fillId="0" borderId="0" xfId="0" applyNumberFormat="1" applyFont="1" applyBorder="1"/>
    <xf numFmtId="0" fontId="3" fillId="0" borderId="0" xfId="0" applyFont="1"/>
    <xf numFmtId="0" fontId="16" fillId="0" borderId="0" xfId="194" applyFont="1" applyFill="1"/>
    <xf numFmtId="0" fontId="5" fillId="0" borderId="0" xfId="0" applyFont="1" applyFill="1"/>
    <xf numFmtId="0" fontId="5" fillId="0" borderId="0" xfId="194" applyFont="1" applyFill="1"/>
    <xf numFmtId="41" fontId="2" fillId="0" borderId="0" xfId="1" applyNumberFormat="1" applyFont="1" applyBorder="1"/>
    <xf numFmtId="41" fontId="14" fillId="0" borderId="0" xfId="0" applyNumberFormat="1" applyFont="1"/>
    <xf numFmtId="0" fontId="3" fillId="0" borderId="0" xfId="0" applyFont="1"/>
    <xf numFmtId="0" fontId="3" fillId="0" borderId="0" xfId="0" applyFont="1"/>
    <xf numFmtId="38" fontId="1" fillId="0" borderId="0" xfId="0" applyNumberFormat="1" applyFont="1" applyBorder="1" applyAlignment="1">
      <alignment horizontal="center" vertical="center"/>
    </xf>
    <xf numFmtId="41" fontId="3" fillId="0" borderId="0" xfId="1" applyNumberFormat="1" applyFont="1" applyBorder="1" applyAlignment="1">
      <alignment horizontal="center"/>
    </xf>
    <xf numFmtId="41" fontId="3" fillId="0" borderId="0" xfId="1" applyNumberFormat="1" applyFont="1" applyFill="1" applyBorder="1" applyAlignment="1">
      <alignment horizontal="center"/>
    </xf>
    <xf numFmtId="0" fontId="16" fillId="0" borderId="0" xfId="194" applyFont="1" applyFill="1" applyBorder="1"/>
    <xf numFmtId="0" fontId="5" fillId="0" borderId="0" xfId="0" applyFont="1" applyFill="1" applyBorder="1"/>
    <xf numFmtId="0" fontId="5" fillId="0" borderId="0" xfId="194" applyFont="1" applyFill="1" applyBorder="1"/>
    <xf numFmtId="38" fontId="3" fillId="0" borderId="0" xfId="0" applyNumberFormat="1" applyFont="1" applyBorder="1"/>
    <xf numFmtId="41" fontId="3" fillId="0" borderId="0" xfId="0" applyNumberFormat="1" applyFont="1" applyBorder="1" applyAlignment="1">
      <alignment horizontal="center"/>
    </xf>
    <xf numFmtId="41" fontId="1" fillId="0" borderId="0" xfId="0" applyNumberFormat="1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/>
    <xf numFmtId="41" fontId="5" fillId="0" borderId="0" xfId="0" applyNumberFormat="1" applyFont="1" applyFill="1"/>
    <xf numFmtId="0" fontId="3" fillId="0" borderId="0" xfId="0" applyFont="1"/>
    <xf numFmtId="43" fontId="3" fillId="0" borderId="0" xfId="0" applyNumberFormat="1" applyFont="1"/>
    <xf numFmtId="41" fontId="3" fillId="0" borderId="0" xfId="0" applyNumberFormat="1" applyFont="1" applyBorder="1" applyAlignment="1"/>
    <xf numFmtId="0" fontId="3" fillId="0" borderId="0" xfId="0" applyFont="1"/>
    <xf numFmtId="41" fontId="17" fillId="0" borderId="0" xfId="0" applyNumberFormat="1" applyFont="1"/>
    <xf numFmtId="0" fontId="3" fillId="0" borderId="0" xfId="0" applyFont="1" applyAlignment="1">
      <alignment horizontal="center" wrapText="1"/>
    </xf>
    <xf numFmtId="41" fontId="17" fillId="0" borderId="0" xfId="0" applyNumberFormat="1" applyFont="1" applyBorder="1"/>
    <xf numFmtId="6" fontId="5" fillId="0" borderId="0" xfId="0" applyNumberFormat="1" applyFont="1"/>
    <xf numFmtId="0" fontId="3" fillId="0" borderId="0" xfId="1" applyNumberFormat="1" applyFont="1" applyBorder="1"/>
    <xf numFmtId="0" fontId="3" fillId="0" borderId="0" xfId="1" applyNumberFormat="1" applyFont="1" applyFill="1" applyBorder="1"/>
    <xf numFmtId="0" fontId="3" fillId="0" borderId="0" xfId="0" applyNumberFormat="1" applyFont="1"/>
    <xf numFmtId="0" fontId="1" fillId="0" borderId="0" xfId="0" applyNumberFormat="1" applyFont="1"/>
    <xf numFmtId="164" fontId="3" fillId="0" borderId="0" xfId="1" applyNumberFormat="1" applyFont="1" applyBorder="1"/>
    <xf numFmtId="164" fontId="3" fillId="0" borderId="0" xfId="1" applyNumberFormat="1" applyFont="1" applyFill="1" applyBorder="1"/>
    <xf numFmtId="164" fontId="3" fillId="0" borderId="0" xfId="1" applyNumberFormat="1" applyFont="1"/>
    <xf numFmtId="0" fontId="1" fillId="0" borderId="0" xfId="1" applyNumberFormat="1" applyFont="1" applyBorder="1"/>
    <xf numFmtId="0" fontId="1" fillId="0" borderId="0" xfId="1" applyNumberFormat="1" applyFont="1" applyFill="1" applyBorder="1"/>
    <xf numFmtId="0" fontId="3" fillId="0" borderId="0" xfId="0" applyFont="1"/>
    <xf numFmtId="0" fontId="3" fillId="0" borderId="0" xfId="0" applyFont="1"/>
    <xf numFmtId="164" fontId="3" fillId="0" borderId="0" xfId="1" applyNumberFormat="1" applyFont="1" applyAlignment="1"/>
    <xf numFmtId="0" fontId="1" fillId="0" borderId="0" xfId="0" applyFont="1" applyAlignment="1">
      <alignment horizontal="center" wrapText="1"/>
    </xf>
    <xf numFmtId="41" fontId="5" fillId="0" borderId="0" xfId="0" applyNumberFormat="1" applyFont="1"/>
    <xf numFmtId="41" fontId="5" fillId="0" borderId="1" xfId="0" applyNumberFormat="1" applyFont="1" applyBorder="1"/>
    <xf numFmtId="41" fontId="5" fillId="0" borderId="0" xfId="0" applyNumberFormat="1" applyFont="1" applyBorder="1"/>
    <xf numFmtId="6" fontId="3" fillId="0" borderId="0" xfId="0" applyNumberFormat="1" applyFont="1"/>
    <xf numFmtId="0" fontId="15" fillId="0" borderId="0" xfId="0" applyFont="1" applyFill="1" applyAlignment="1">
      <alignment wrapText="1"/>
    </xf>
    <xf numFmtId="43" fontId="4" fillId="0" borderId="0" xfId="1" applyFont="1" applyBorder="1" applyAlignment="1">
      <alignment horizontal="center" wrapText="1"/>
    </xf>
    <xf numFmtId="43" fontId="3" fillId="0" borderId="0" xfId="1" applyFont="1" applyFill="1" applyBorder="1" applyAlignment="1">
      <alignment horizontal="center" wrapText="1"/>
    </xf>
    <xf numFmtId="0" fontId="3" fillId="0" borderId="0" xfId="0" applyFont="1"/>
    <xf numFmtId="0" fontId="3" fillId="0" borderId="0" xfId="0" applyFont="1"/>
    <xf numFmtId="0" fontId="3" fillId="0" borderId="0" xfId="0" applyFont="1"/>
    <xf numFmtId="0" fontId="3" fillId="0" borderId="0" xfId="0" applyFont="1"/>
    <xf numFmtId="164" fontId="3" fillId="0" borderId="0" xfId="0" applyNumberFormat="1" applyFont="1"/>
    <xf numFmtId="41" fontId="19" fillId="0" borderId="0" xfId="0" applyNumberFormat="1" applyFont="1"/>
    <xf numFmtId="41" fontId="19" fillId="0" borderId="1" xfId="0" applyNumberFormat="1" applyFont="1" applyBorder="1"/>
    <xf numFmtId="41" fontId="3" fillId="0" borderId="3" xfId="1" applyNumberFormat="1" applyFont="1" applyFill="1" applyBorder="1"/>
    <xf numFmtId="41" fontId="3" fillId="0" borderId="3" xfId="0" applyNumberFormat="1" applyFont="1" applyBorder="1"/>
    <xf numFmtId="41" fontId="5" fillId="0" borderId="0" xfId="0" applyNumberFormat="1" applyFont="1" applyFill="1" applyBorder="1"/>
    <xf numFmtId="41" fontId="5" fillId="0" borderId="0" xfId="0" applyNumberFormat="1" applyFont="1" applyAlignment="1">
      <alignment horizontal="center"/>
    </xf>
    <xf numFmtId="41" fontId="5" fillId="0" borderId="0" xfId="1" applyNumberFormat="1" applyFont="1" applyBorder="1"/>
    <xf numFmtId="0" fontId="3" fillId="0" borderId="1" xfId="0" applyFont="1" applyBorder="1"/>
    <xf numFmtId="41" fontId="2" fillId="0" borderId="0" xfId="0" applyNumberFormat="1" applyFont="1"/>
    <xf numFmtId="41" fontId="2" fillId="0" borderId="0" xfId="0" applyNumberFormat="1" applyFont="1" applyBorder="1"/>
    <xf numFmtId="0" fontId="3" fillId="0" borderId="0" xfId="0" applyFont="1"/>
    <xf numFmtId="14" fontId="3" fillId="0" borderId="0" xfId="0" applyNumberFormat="1" applyFont="1"/>
    <xf numFmtId="41" fontId="3" fillId="0" borderId="0" xfId="0" applyNumberFormat="1" applyFont="1" applyFill="1" applyAlignment="1">
      <alignment horizontal="center"/>
    </xf>
    <xf numFmtId="49" fontId="2" fillId="0" borderId="0" xfId="0" applyNumberFormat="1" applyFont="1"/>
    <xf numFmtId="49" fontId="2" fillId="0" borderId="0" xfId="0" applyNumberFormat="1" applyFont="1" applyBorder="1"/>
    <xf numFmtId="41" fontId="2" fillId="0" borderId="1" xfId="1" applyNumberFormat="1" applyFont="1" applyBorder="1"/>
    <xf numFmtId="41" fontId="1" fillId="0" borderId="1" xfId="1" applyNumberFormat="1" applyFont="1" applyBorder="1"/>
    <xf numFmtId="0" fontId="1" fillId="0" borderId="0" xfId="0" applyFont="1" applyBorder="1"/>
    <xf numFmtId="0" fontId="5" fillId="2" borderId="0" xfId="194" applyFont="1" applyFill="1"/>
    <xf numFmtId="41" fontId="3" fillId="0" borderId="0" xfId="256" applyNumberFormat="1" applyFont="1"/>
    <xf numFmtId="0" fontId="3" fillId="0" borderId="3" xfId="0" applyFont="1" applyBorder="1"/>
    <xf numFmtId="41" fontId="5" fillId="0" borderId="3" xfId="0" applyNumberFormat="1" applyFont="1" applyBorder="1"/>
    <xf numFmtId="41" fontId="5" fillId="0" borderId="1" xfId="0" applyNumberFormat="1" applyFont="1" applyFill="1" applyBorder="1"/>
    <xf numFmtId="164" fontId="1" fillId="0" borderId="0" xfId="1" applyNumberFormat="1" applyFont="1"/>
    <xf numFmtId="164" fontId="1" fillId="0" borderId="0" xfId="1" applyNumberFormat="1" applyFont="1" applyBorder="1"/>
    <xf numFmtId="164" fontId="1" fillId="0" borderId="1" xfId="1" applyNumberFormat="1" applyFont="1" applyBorder="1"/>
    <xf numFmtId="164" fontId="20" fillId="0" borderId="0" xfId="1" applyNumberFormat="1" applyFont="1"/>
    <xf numFmtId="164" fontId="20" fillId="0" borderId="0" xfId="1" applyNumberFormat="1" applyFont="1" applyBorder="1"/>
    <xf numFmtId="164" fontId="20" fillId="0" borderId="3" xfId="1" applyNumberFormat="1" applyFont="1" applyBorder="1"/>
    <xf numFmtId="164" fontId="2" fillId="0" borderId="0" xfId="1" applyNumberFormat="1" applyFont="1" applyBorder="1"/>
    <xf numFmtId="164" fontId="18" fillId="0" borderId="1" xfId="1" applyNumberFormat="1" applyFont="1" applyBorder="1"/>
    <xf numFmtId="164" fontId="1" fillId="0" borderId="0" xfId="1" applyNumberFormat="1" applyFont="1" applyFill="1"/>
    <xf numFmtId="164" fontId="18" fillId="0" borderId="0" xfId="1" applyNumberFormat="1" applyFont="1"/>
    <xf numFmtId="164" fontId="2" fillId="0" borderId="0" xfId="1" applyNumberFormat="1" applyFont="1" applyFill="1" applyBorder="1"/>
    <xf numFmtId="164" fontId="6" fillId="0" borderId="0" xfId="1" applyNumberFormat="1" applyFont="1"/>
    <xf numFmtId="164" fontId="1" fillId="0" borderId="0" xfId="1" applyNumberFormat="1" applyFont="1" applyFill="1" applyBorder="1"/>
    <xf numFmtId="164" fontId="1" fillId="0" borderId="1" xfId="1" applyNumberFormat="1" applyFont="1" applyFill="1" applyBorder="1"/>
    <xf numFmtId="164" fontId="1" fillId="0" borderId="0" xfId="1" applyNumberFormat="1" applyFont="1" applyAlignment="1">
      <alignment horizontal="center"/>
    </xf>
    <xf numFmtId="0" fontId="4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</cellXfs>
  <cellStyles count="257">
    <cellStyle name="Comma" xfId="1" builtinId="3"/>
    <cellStyle name="Currency" xfId="256" builtinId="4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6" builtinId="9" hidden="1"/>
    <cellStyle name="Followed Hyperlink" xfId="197" builtinId="9" hidden="1"/>
    <cellStyle name="Followed Hyperlink" xfId="198" builtinId="9" hidden="1"/>
    <cellStyle name="Followed Hyperlink" xfId="199" builtinId="9" hidden="1"/>
    <cellStyle name="Followed Hyperlink" xfId="200" builtinId="9" hidden="1"/>
    <cellStyle name="Followed Hyperlink" xfId="201" builtinId="9" hidden="1"/>
    <cellStyle name="Followed Hyperlink" xfId="202" builtinId="9" hidden="1"/>
    <cellStyle name="Followed Hyperlink" xfId="203" builtinId="9" hidden="1"/>
    <cellStyle name="Followed Hyperlink" xfId="204" builtinId="9" hidden="1"/>
    <cellStyle name="Followed Hyperlink" xfId="205" builtinId="9" hidden="1"/>
    <cellStyle name="Followed Hyperlink" xfId="206" builtinId="9" hidden="1"/>
    <cellStyle name="Followed Hyperlink" xfId="207" builtinId="9" hidden="1"/>
    <cellStyle name="Followed Hyperlink" xfId="208" builtinId="9" hidden="1"/>
    <cellStyle name="Followed Hyperlink" xfId="209" builtinId="9" hidden="1"/>
    <cellStyle name="Followed Hyperlink" xfId="210" builtinId="9" hidden="1"/>
    <cellStyle name="Followed Hyperlink" xfId="211" builtinId="9" hidden="1"/>
    <cellStyle name="Followed Hyperlink" xfId="212" builtinId="9" hidden="1"/>
    <cellStyle name="Followed Hyperlink" xfId="213" builtinId="9" hidden="1"/>
    <cellStyle name="Followed Hyperlink" xfId="214" builtinId="9" hidden="1"/>
    <cellStyle name="Followed Hyperlink" xfId="215" builtinId="9" hidden="1"/>
    <cellStyle name="Followed Hyperlink" xfId="216" builtinId="9" hidden="1"/>
    <cellStyle name="Followed Hyperlink" xfId="217" builtinId="9" hidden="1"/>
    <cellStyle name="Followed Hyperlink" xfId="218" builtinId="9" hidden="1"/>
    <cellStyle name="Followed Hyperlink" xfId="219" builtinId="9" hidden="1"/>
    <cellStyle name="Followed Hyperlink" xfId="220" builtinId="9" hidden="1"/>
    <cellStyle name="Followed Hyperlink" xfId="221" builtinId="9" hidden="1"/>
    <cellStyle name="Followed Hyperlink" xfId="222" builtinId="9" hidden="1"/>
    <cellStyle name="Followed Hyperlink" xfId="223" builtinId="9" hidden="1"/>
    <cellStyle name="Followed Hyperlink" xfId="224" builtinId="9" hidden="1"/>
    <cellStyle name="Followed Hyperlink" xfId="225" builtinId="9" hidden="1"/>
    <cellStyle name="Followed Hyperlink" xfId="226" builtinId="9" hidden="1"/>
    <cellStyle name="Followed Hyperlink" xfId="227" builtinId="9" hidden="1"/>
    <cellStyle name="Followed Hyperlink" xfId="228" builtinId="9" hidden="1"/>
    <cellStyle name="Followed Hyperlink" xfId="229" builtinId="9" hidden="1"/>
    <cellStyle name="Followed Hyperlink" xfId="230" builtinId="9" hidden="1"/>
    <cellStyle name="Followed Hyperlink" xfId="231" builtinId="9" hidden="1"/>
    <cellStyle name="Followed Hyperlink" xfId="232" builtinId="9" hidden="1"/>
    <cellStyle name="Followed Hyperlink" xfId="233" builtinId="9" hidden="1"/>
    <cellStyle name="Followed Hyperlink" xfId="234" builtinId="9" hidden="1"/>
    <cellStyle name="Followed Hyperlink" xfId="235" builtinId="9" hidden="1"/>
    <cellStyle name="Followed Hyperlink" xfId="236" builtinId="9" hidden="1"/>
    <cellStyle name="Followed Hyperlink" xfId="237" builtinId="9" hidden="1"/>
    <cellStyle name="Followed Hyperlink" xfId="238" builtinId="9" hidden="1"/>
    <cellStyle name="Followed Hyperlink" xfId="239" builtinId="9" hidden="1"/>
    <cellStyle name="Followed Hyperlink" xfId="240" builtinId="9" hidden="1"/>
    <cellStyle name="Followed Hyperlink" xfId="241" builtinId="9" hidden="1"/>
    <cellStyle name="Followed Hyperlink" xfId="242" builtinId="9" hidden="1"/>
    <cellStyle name="Followed Hyperlink" xfId="243" builtinId="9" hidden="1"/>
    <cellStyle name="Followed Hyperlink" xfId="244" builtinId="9" hidden="1"/>
    <cellStyle name="Followed Hyperlink" xfId="245" builtinId="9" hidden="1"/>
    <cellStyle name="Followed Hyperlink" xfId="246" builtinId="9" hidden="1"/>
    <cellStyle name="Followed Hyperlink" xfId="247" builtinId="9" hidden="1"/>
    <cellStyle name="Followed Hyperlink" xfId="248" builtinId="9" hidden="1"/>
    <cellStyle name="Followed Hyperlink" xfId="249" builtinId="9" hidden="1"/>
    <cellStyle name="Followed Hyperlink" xfId="250" builtinId="9" hidden="1"/>
    <cellStyle name="Followed Hyperlink" xfId="251" builtinId="9" hidden="1"/>
    <cellStyle name="Followed Hyperlink" xfId="252" builtinId="9" hidden="1"/>
    <cellStyle name="Followed Hyperlink" xfId="253" builtinId="9" hidden="1"/>
    <cellStyle name="Followed Hyperlink" xfId="254" builtinId="9" hidden="1"/>
    <cellStyle name="Followed Hyperlink" xfId="25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/>
    <cellStyle name="Normal" xfId="0" builtinId="0"/>
  </cellStyles>
  <dxfs count="0"/>
  <tableStyles count="0" defaultTableStyle="TableStyleMedium9" defaultPivotStyle="PivotStyleLight16"/>
  <colors>
    <mruColors>
      <color rgb="FFCA890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15"/>
  <sheetViews>
    <sheetView tabSelected="1" zoomScale="130" zoomScaleNormal="130" zoomScalePageLayoutView="125" workbookViewId="0">
      <pane xSplit="5" ySplit="1" topLeftCell="M2" activePane="bottomRight" state="frozen"/>
      <selection pane="topRight" activeCell="H1" sqref="H1"/>
      <selection pane="bottomLeft" activeCell="A4" sqref="A4"/>
      <selection pane="bottomRight" activeCell="AG26" sqref="AG26"/>
    </sheetView>
  </sheetViews>
  <sheetFormatPr defaultColWidth="8.85546875" defaultRowHeight="11.25" x14ac:dyDescent="0.2"/>
  <cols>
    <col min="1" max="2" width="2.7109375" style="9" customWidth="1"/>
    <col min="3" max="3" width="2.7109375" style="20" customWidth="1"/>
    <col min="4" max="4" width="3" style="20" customWidth="1"/>
    <col min="5" max="5" width="22.5703125" style="20" customWidth="1"/>
    <col min="6" max="6" width="1" style="20" hidden="1" customWidth="1"/>
    <col min="7" max="7" width="8.7109375" style="16" hidden="1" customWidth="1"/>
    <col min="8" max="8" width="1.5703125" style="16" hidden="1" customWidth="1"/>
    <col min="9" max="9" width="8" style="16" hidden="1" customWidth="1"/>
    <col min="10" max="10" width="1" style="16" hidden="1" customWidth="1"/>
    <col min="11" max="11" width="8.7109375" style="16" hidden="1" customWidth="1"/>
    <col min="12" max="12" width="1" style="16" hidden="1" customWidth="1"/>
    <col min="13" max="13" width="9.5703125" style="18" bestFit="1" customWidth="1"/>
    <col min="14" max="14" width="0.7109375" style="18" hidden="1" customWidth="1"/>
    <col min="15" max="15" width="1" style="36" hidden="1" customWidth="1"/>
    <col min="16" max="16" width="9.85546875" style="3" hidden="1" customWidth="1"/>
    <col min="17" max="17" width="1" style="37" hidden="1" customWidth="1"/>
    <col min="18" max="18" width="8.42578125" style="37" hidden="1" customWidth="1"/>
    <col min="19" max="19" width="1" style="37" hidden="1" customWidth="1"/>
    <col min="20" max="20" width="8.42578125" style="80" hidden="1" customWidth="1"/>
    <col min="21" max="21" width="1.140625" style="75" customWidth="1"/>
    <col min="22" max="22" width="8" style="80" customWidth="1"/>
    <col min="23" max="23" width="1.140625" style="75" customWidth="1"/>
    <col min="24" max="24" width="9.42578125" style="118" customWidth="1"/>
    <col min="25" max="25" width="1.140625" style="1" customWidth="1"/>
    <col min="26" max="26" width="9.28515625" style="131" customWidth="1"/>
    <col min="27" max="27" width="1.140625" style="1" customWidth="1"/>
    <col min="28" max="28" width="8.7109375" style="130" customWidth="1"/>
    <col min="29" max="29" width="1.140625" style="1" customWidth="1"/>
    <col min="30" max="30" width="12" style="1" customWidth="1"/>
    <col min="31" max="31" width="23.28515625" style="3" bestFit="1" customWidth="1"/>
    <col min="32" max="32" width="1.7109375" style="3" customWidth="1"/>
    <col min="33" max="16384" width="8.85546875" style="3"/>
  </cols>
  <sheetData>
    <row r="1" spans="1:31" s="2" customFormat="1" ht="25.5" customHeight="1" x14ac:dyDescent="0.2">
      <c r="A1" s="6"/>
      <c r="B1" s="6"/>
      <c r="C1" s="19"/>
      <c r="D1" s="19"/>
      <c r="E1" s="19"/>
      <c r="F1" s="19"/>
      <c r="G1" s="69" t="s">
        <v>174</v>
      </c>
      <c r="H1" s="70"/>
      <c r="I1" s="126" t="s">
        <v>153</v>
      </c>
      <c r="J1" s="70"/>
      <c r="K1" s="70" t="s">
        <v>175</v>
      </c>
      <c r="L1" s="70"/>
      <c r="M1" s="127" t="s">
        <v>172</v>
      </c>
      <c r="N1" s="71" t="s">
        <v>150</v>
      </c>
      <c r="P1" s="2" t="s">
        <v>159</v>
      </c>
      <c r="R1" s="2" t="s">
        <v>160</v>
      </c>
      <c r="T1" s="2" t="s">
        <v>150</v>
      </c>
      <c r="V1" s="105" t="s">
        <v>202</v>
      </c>
      <c r="X1" s="105" t="s">
        <v>220</v>
      </c>
      <c r="Z1" s="105" t="s">
        <v>190</v>
      </c>
      <c r="AB1" s="105" t="s">
        <v>222</v>
      </c>
      <c r="AC1" s="105"/>
      <c r="AD1" s="120" t="s">
        <v>221</v>
      </c>
      <c r="AE1" s="19" t="s">
        <v>208</v>
      </c>
    </row>
    <row r="2" spans="1:31" hidden="1" x14ac:dyDescent="0.2">
      <c r="A2" s="7"/>
      <c r="B2" s="7"/>
      <c r="C2" s="8"/>
      <c r="D2" s="8"/>
      <c r="E2" s="8"/>
      <c r="F2" s="8"/>
      <c r="G2" s="15"/>
      <c r="AC2" s="117"/>
    </row>
    <row r="3" spans="1:31" x14ac:dyDescent="0.2">
      <c r="A3" s="7"/>
      <c r="B3" s="7" t="s">
        <v>0</v>
      </c>
      <c r="C3" s="8"/>
      <c r="D3" s="8"/>
      <c r="E3" s="8"/>
      <c r="F3" s="8"/>
      <c r="G3" s="15"/>
      <c r="AB3" s="144">
        <v>42447</v>
      </c>
      <c r="AC3" s="117"/>
    </row>
    <row r="4" spans="1:31" x14ac:dyDescent="0.2">
      <c r="A4" s="7"/>
      <c r="B4" s="7"/>
      <c r="C4" s="8" t="s">
        <v>1</v>
      </c>
      <c r="D4" s="8"/>
      <c r="E4" s="8"/>
      <c r="F4" s="8"/>
      <c r="G4" s="15"/>
      <c r="AC4" s="117"/>
    </row>
    <row r="5" spans="1:31" x14ac:dyDescent="0.2">
      <c r="A5" s="7"/>
      <c r="B5" s="7"/>
      <c r="C5" s="8"/>
      <c r="D5" s="8" t="s">
        <v>2</v>
      </c>
      <c r="E5" s="8"/>
      <c r="F5" s="8"/>
      <c r="G5" s="40">
        <v>1149841.6499999999</v>
      </c>
      <c r="H5" s="41"/>
      <c r="I5" s="40">
        <v>1262981</v>
      </c>
      <c r="J5" s="41"/>
      <c r="K5" s="41">
        <v>1231158</v>
      </c>
      <c r="L5" s="41"/>
      <c r="M5" s="42">
        <f>1246715+345</f>
        <v>1247060</v>
      </c>
      <c r="N5" s="42">
        <v>0</v>
      </c>
      <c r="O5" s="43"/>
      <c r="P5" s="43">
        <v>439020</v>
      </c>
      <c r="Q5" s="43"/>
      <c r="R5" s="43">
        <v>812620</v>
      </c>
      <c r="S5" s="43"/>
      <c r="T5" s="43">
        <v>1312395</v>
      </c>
      <c r="U5" s="65"/>
      <c r="V5" s="43">
        <v>439065</v>
      </c>
      <c r="W5" s="65"/>
      <c r="X5" s="43">
        <v>1391970</v>
      </c>
      <c r="Y5" s="65"/>
      <c r="Z5" s="43">
        <f>SUM(17000*73)+(400*5)+(2300*45)</f>
        <v>1346500</v>
      </c>
      <c r="AA5" s="65"/>
      <c r="AB5" s="43">
        <v>1139593.01</v>
      </c>
      <c r="AC5" s="43"/>
      <c r="AD5" s="159">
        <v>1355420</v>
      </c>
      <c r="AE5" s="66" t="s">
        <v>245</v>
      </c>
    </row>
    <row r="6" spans="1:31" x14ac:dyDescent="0.2">
      <c r="A6" s="7"/>
      <c r="B6" s="7"/>
      <c r="C6" s="8"/>
      <c r="D6" s="8" t="s">
        <v>3</v>
      </c>
      <c r="E6" s="8"/>
      <c r="F6" s="8"/>
      <c r="G6" s="40">
        <v>72294.5</v>
      </c>
      <c r="H6" s="41"/>
      <c r="I6" s="40">
        <v>92998</v>
      </c>
      <c r="J6" s="41"/>
      <c r="K6" s="41">
        <v>80918</v>
      </c>
      <c r="L6" s="41"/>
      <c r="M6" s="42">
        <v>87894</v>
      </c>
      <c r="N6" s="42">
        <v>0</v>
      </c>
      <c r="O6" s="43"/>
      <c r="P6" s="43">
        <v>30839</v>
      </c>
      <c r="Q6" s="43"/>
      <c r="R6" s="43">
        <v>58560</v>
      </c>
      <c r="S6" s="43"/>
      <c r="T6" s="43">
        <v>90560</v>
      </c>
      <c r="U6" s="65"/>
      <c r="V6" s="43">
        <v>29400</v>
      </c>
      <c r="W6" s="65"/>
      <c r="X6" s="43">
        <v>92188</v>
      </c>
      <c r="Y6" s="65"/>
      <c r="Z6" s="132">
        <f>1450*68</f>
        <v>98600</v>
      </c>
      <c r="AA6" s="65"/>
      <c r="AB6" s="132">
        <v>95761</v>
      </c>
      <c r="AC6" s="43"/>
      <c r="AD6" s="159">
        <v>105740</v>
      </c>
      <c r="AE6" s="119" t="s">
        <v>246</v>
      </c>
    </row>
    <row r="7" spans="1:31" x14ac:dyDescent="0.2">
      <c r="A7" s="7"/>
      <c r="B7" s="7"/>
      <c r="C7" s="8"/>
      <c r="D7" s="8" t="s">
        <v>4</v>
      </c>
      <c r="E7" s="8"/>
      <c r="F7" s="8"/>
      <c r="G7" s="57">
        <v>23935</v>
      </c>
      <c r="H7" s="41"/>
      <c r="I7" s="57">
        <v>31125</v>
      </c>
      <c r="J7" s="41"/>
      <c r="K7" s="72">
        <v>30700</v>
      </c>
      <c r="L7" s="41"/>
      <c r="M7" s="42">
        <v>33145</v>
      </c>
      <c r="N7" s="42">
        <v>0</v>
      </c>
      <c r="O7" s="43"/>
      <c r="P7" s="59">
        <v>10070</v>
      </c>
      <c r="Q7" s="43"/>
      <c r="R7" s="59">
        <v>20600</v>
      </c>
      <c r="S7" s="43"/>
      <c r="T7" s="59">
        <v>31575</v>
      </c>
      <c r="U7" s="79"/>
      <c r="V7" s="76">
        <v>7225</v>
      </c>
      <c r="W7" s="79"/>
      <c r="X7" s="76">
        <v>30325</v>
      </c>
      <c r="Y7" s="79"/>
      <c r="Z7" s="76">
        <f xml:space="preserve"> SUM(225*120)+(125*8)</f>
        <v>28000</v>
      </c>
      <c r="AA7" s="79"/>
      <c r="AB7" s="76">
        <v>29562</v>
      </c>
      <c r="AC7" s="76"/>
      <c r="AD7" s="160">
        <v>32075</v>
      </c>
      <c r="AE7" s="102" t="s">
        <v>247</v>
      </c>
    </row>
    <row r="8" spans="1:31" s="103" customFormat="1" ht="12" thickBot="1" x14ac:dyDescent="0.25">
      <c r="A8" s="7"/>
      <c r="B8" s="7"/>
      <c r="C8" s="8"/>
      <c r="D8" s="8" t="s">
        <v>189</v>
      </c>
      <c r="E8" s="8"/>
      <c r="F8" s="8"/>
      <c r="G8" s="40"/>
      <c r="H8" s="41"/>
      <c r="I8" s="40"/>
      <c r="J8" s="41"/>
      <c r="K8" s="41"/>
      <c r="L8" s="41"/>
      <c r="M8" s="135"/>
      <c r="N8" s="42"/>
      <c r="O8" s="43"/>
      <c r="P8" s="76"/>
      <c r="Q8" s="43"/>
      <c r="R8" s="76"/>
      <c r="S8" s="43"/>
      <c r="T8" s="76"/>
      <c r="U8" s="79"/>
      <c r="V8" s="59">
        <v>420</v>
      </c>
      <c r="W8" s="79"/>
      <c r="X8" s="59">
        <v>0</v>
      </c>
      <c r="Y8" s="79"/>
      <c r="Z8" s="59">
        <v>0</v>
      </c>
      <c r="AA8" s="79"/>
      <c r="AB8" s="59">
        <v>42</v>
      </c>
      <c r="AC8" s="59"/>
      <c r="AD8" s="161">
        <v>0</v>
      </c>
      <c r="AE8" s="102"/>
    </row>
    <row r="9" spans="1:31" x14ac:dyDescent="0.2">
      <c r="A9" s="7"/>
      <c r="B9" s="7"/>
      <c r="C9" s="8" t="s">
        <v>5</v>
      </c>
      <c r="D9" s="8"/>
      <c r="E9" s="8"/>
      <c r="F9" s="8"/>
      <c r="G9" s="40">
        <f>ROUND(SUM(G5:G7),5)</f>
        <v>1246071.1499999999</v>
      </c>
      <c r="H9" s="41"/>
      <c r="I9" s="40">
        <f>ROUND(SUM(I5:I7),5)</f>
        <v>1387104</v>
      </c>
      <c r="J9" s="41"/>
      <c r="K9" s="40">
        <f>ROUND(SUM(K5:K7),5)</f>
        <v>1342776</v>
      </c>
      <c r="L9" s="41"/>
      <c r="M9" s="40">
        <f>ROUND(SUM(M5:M7),5)</f>
        <v>1368099</v>
      </c>
      <c r="N9" s="44">
        <f>ROUND(SUM(N5:N7),5)</f>
        <v>0</v>
      </c>
      <c r="O9" s="43"/>
      <c r="P9" s="40">
        <f>ROUND(SUM(P5:P7),5)</f>
        <v>479929</v>
      </c>
      <c r="Q9" s="42"/>
      <c r="R9" s="42"/>
      <c r="S9" s="42"/>
      <c r="T9" s="40">
        <f>ROUND(SUM(T5:T7),5)</f>
        <v>1434530</v>
      </c>
      <c r="U9" s="40"/>
      <c r="V9" s="40">
        <f>ROUND(SUM(V5:V8),5)</f>
        <v>476110</v>
      </c>
      <c r="W9" s="40"/>
      <c r="X9" s="40">
        <f>ROUND(SUM(X5:X8),5)</f>
        <v>1514483</v>
      </c>
      <c r="Y9" s="84"/>
      <c r="Z9" s="40">
        <f>ROUND(SUM(Z5:Z8),5)</f>
        <v>1473100</v>
      </c>
      <c r="AA9" s="84"/>
      <c r="AB9" s="40">
        <f>ROUND(SUM(AB5:AB8),5)</f>
        <v>1264958.01</v>
      </c>
      <c r="AC9" s="40"/>
      <c r="AD9" s="162">
        <f>ROUND(SUM(AD5:AD8),5)</f>
        <v>1493235</v>
      </c>
      <c r="AE9" s="43"/>
    </row>
    <row r="10" spans="1:31" s="130" customFormat="1" x14ac:dyDescent="0.2">
      <c r="A10" s="7"/>
      <c r="B10" s="7"/>
      <c r="C10" s="8"/>
      <c r="D10" s="8"/>
      <c r="E10" s="8"/>
      <c r="F10" s="8"/>
      <c r="G10" s="40"/>
      <c r="H10" s="41"/>
      <c r="I10" s="40"/>
      <c r="J10" s="41"/>
      <c r="K10" s="40"/>
      <c r="L10" s="41"/>
      <c r="M10" s="40"/>
      <c r="N10" s="44"/>
      <c r="O10" s="43"/>
      <c r="P10" s="40"/>
      <c r="Q10" s="42"/>
      <c r="R10" s="42"/>
      <c r="S10" s="42"/>
      <c r="T10" s="40"/>
      <c r="U10" s="40"/>
      <c r="V10" s="40"/>
      <c r="W10" s="40"/>
      <c r="X10" s="40"/>
      <c r="Y10" s="84"/>
      <c r="Z10" s="40"/>
      <c r="AA10" s="84"/>
      <c r="AB10" s="40"/>
      <c r="AC10" s="40"/>
      <c r="AD10" s="162"/>
      <c r="AE10" s="43"/>
    </row>
    <row r="11" spans="1:31" s="130" customFormat="1" x14ac:dyDescent="0.2">
      <c r="A11" s="7"/>
      <c r="B11" s="7"/>
      <c r="C11" s="8" t="s">
        <v>40</v>
      </c>
      <c r="D11" s="8"/>
      <c r="E11" s="8"/>
      <c r="F11" s="8"/>
      <c r="G11" s="40"/>
      <c r="H11" s="41"/>
      <c r="I11" s="41"/>
      <c r="J11" s="41"/>
      <c r="K11" s="41"/>
      <c r="L11" s="41"/>
      <c r="M11" s="42"/>
      <c r="N11" s="42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65"/>
      <c r="Z11" s="43"/>
      <c r="AA11" s="65"/>
      <c r="AB11" s="43"/>
      <c r="AC11" s="43"/>
      <c r="AD11" s="156"/>
      <c r="AE11" s="2"/>
    </row>
    <row r="12" spans="1:31" s="130" customFormat="1" x14ac:dyDescent="0.2">
      <c r="A12" s="7"/>
      <c r="B12" s="7"/>
      <c r="C12" s="8"/>
      <c r="D12" s="8" t="s">
        <v>41</v>
      </c>
      <c r="E12" s="8"/>
      <c r="F12" s="8"/>
      <c r="G12" s="40">
        <v>711748.65</v>
      </c>
      <c r="H12" s="41"/>
      <c r="I12" s="40">
        <v>849398</v>
      </c>
      <c r="J12" s="41"/>
      <c r="K12" s="41">
        <v>816037</v>
      </c>
      <c r="L12" s="41"/>
      <c r="M12" s="42">
        <v>-838534</v>
      </c>
      <c r="N12" s="42">
        <v>0</v>
      </c>
      <c r="O12" s="43"/>
      <c r="P12" s="43">
        <v>271916</v>
      </c>
      <c r="Q12" s="43"/>
      <c r="R12" s="43">
        <v>5665111</v>
      </c>
      <c r="S12" s="43"/>
      <c r="T12" s="43">
        <v>907905</v>
      </c>
      <c r="U12" s="65"/>
      <c r="V12" s="43">
        <v>-299880</v>
      </c>
      <c r="W12" s="65"/>
      <c r="X12" s="43">
        <v>-895422</v>
      </c>
      <c r="Y12" s="65"/>
      <c r="Z12" s="43">
        <f>-SUM(17000*54)+(400*5)</f>
        <v>-916000</v>
      </c>
      <c r="AA12" s="65"/>
      <c r="AB12" s="43">
        <v>-789503</v>
      </c>
      <c r="AC12" s="43"/>
      <c r="AD12" s="156">
        <v>-960980</v>
      </c>
      <c r="AE12" s="43"/>
    </row>
    <row r="13" spans="1:31" s="130" customFormat="1" x14ac:dyDescent="0.2">
      <c r="A13" s="7"/>
      <c r="B13" s="7"/>
      <c r="C13" s="8"/>
      <c r="D13" s="8" t="s">
        <v>42</v>
      </c>
      <c r="E13" s="8"/>
      <c r="F13" s="8"/>
      <c r="G13" s="40">
        <v>99699</v>
      </c>
      <c r="H13" s="41"/>
      <c r="I13" s="40">
        <v>95960</v>
      </c>
      <c r="J13" s="41"/>
      <c r="K13" s="41">
        <v>103335</v>
      </c>
      <c r="L13" s="41"/>
      <c r="M13" s="42">
        <v>-92182</v>
      </c>
      <c r="N13" s="42">
        <v>0</v>
      </c>
      <c r="O13" s="43"/>
      <c r="P13" s="43">
        <v>49165</v>
      </c>
      <c r="Q13" s="43"/>
      <c r="R13" s="43">
        <v>36888</v>
      </c>
      <c r="S13" s="43"/>
      <c r="T13" s="43">
        <v>93210</v>
      </c>
      <c r="U13" s="65"/>
      <c r="V13" s="43">
        <v>-48090</v>
      </c>
      <c r="W13" s="65"/>
      <c r="X13" s="43">
        <v>-82815</v>
      </c>
      <c r="Y13" s="65"/>
      <c r="Z13" s="43">
        <f>-2300*30</f>
        <v>-69000</v>
      </c>
      <c r="AA13" s="65"/>
      <c r="AB13" s="43">
        <v>-38730</v>
      </c>
      <c r="AC13" s="43"/>
      <c r="AD13" s="156">
        <v>-68820</v>
      </c>
      <c r="AE13" s="43"/>
    </row>
    <row r="14" spans="1:31" s="130" customFormat="1" x14ac:dyDescent="0.2">
      <c r="A14" s="7"/>
      <c r="B14" s="7"/>
      <c r="C14" s="8"/>
      <c r="D14" s="8" t="s">
        <v>43</v>
      </c>
      <c r="E14" s="8"/>
      <c r="F14" s="8"/>
      <c r="G14" s="40">
        <v>63236.5</v>
      </c>
      <c r="H14" s="41"/>
      <c r="I14" s="40">
        <v>73012</v>
      </c>
      <c r="J14" s="41"/>
      <c r="K14" s="41">
        <v>66985</v>
      </c>
      <c r="L14" s="41"/>
      <c r="M14" s="42">
        <v>-74318.5</v>
      </c>
      <c r="N14" s="42">
        <v>0</v>
      </c>
      <c r="O14" s="43"/>
      <c r="P14" s="43">
        <v>25618</v>
      </c>
      <c r="Q14" s="43"/>
      <c r="R14" s="43">
        <v>45235</v>
      </c>
      <c r="S14" s="43"/>
      <c r="T14" s="43">
        <v>75790</v>
      </c>
      <c r="U14" s="65"/>
      <c r="V14" s="43">
        <v>-25450</v>
      </c>
      <c r="W14" s="65"/>
      <c r="X14" s="43">
        <v>-80875</v>
      </c>
      <c r="Y14" s="65"/>
      <c r="Z14" s="132">
        <f>-1450*54</f>
        <v>-78300</v>
      </c>
      <c r="AA14" s="65"/>
      <c r="AB14" s="132">
        <v>-72954</v>
      </c>
      <c r="AC14" s="43"/>
      <c r="AD14" s="156">
        <v>-87080</v>
      </c>
      <c r="AE14" s="43"/>
    </row>
    <row r="15" spans="1:31" s="130" customFormat="1" x14ac:dyDescent="0.2">
      <c r="A15" s="7"/>
      <c r="B15" s="7"/>
      <c r="C15" s="8"/>
      <c r="D15" s="8" t="s">
        <v>44</v>
      </c>
      <c r="E15" s="8"/>
      <c r="F15" s="8"/>
      <c r="G15" s="40">
        <v>7470</v>
      </c>
      <c r="H15" s="41"/>
      <c r="I15" s="40">
        <v>10890</v>
      </c>
      <c r="J15" s="41"/>
      <c r="K15" s="41">
        <v>9570</v>
      </c>
      <c r="L15" s="41"/>
      <c r="M15" s="42">
        <v>-10120</v>
      </c>
      <c r="N15" s="42">
        <v>0</v>
      </c>
      <c r="O15" s="43"/>
      <c r="P15" s="43">
        <v>3210</v>
      </c>
      <c r="Q15" s="43"/>
      <c r="R15" s="43">
        <v>6350</v>
      </c>
      <c r="S15" s="43"/>
      <c r="T15" s="43">
        <v>9840</v>
      </c>
      <c r="U15" s="65"/>
      <c r="V15" s="43">
        <v>-2570</v>
      </c>
      <c r="W15" s="65"/>
      <c r="X15" s="43">
        <v>-9180</v>
      </c>
      <c r="Y15" s="65"/>
      <c r="Z15" s="43">
        <f>-SUM(120*70)+(8*40)</f>
        <v>-8080</v>
      </c>
      <c r="AA15" s="65"/>
      <c r="AB15" s="43">
        <v>-8630</v>
      </c>
      <c r="AC15" s="43"/>
      <c r="AD15" s="156">
        <v>-9560</v>
      </c>
      <c r="AE15" s="43"/>
    </row>
    <row r="16" spans="1:31" s="130" customFormat="1" hidden="1" x14ac:dyDescent="0.2">
      <c r="A16" s="7"/>
      <c r="B16" s="7"/>
      <c r="C16" s="8"/>
      <c r="D16" s="8" t="s">
        <v>139</v>
      </c>
      <c r="E16" s="8"/>
      <c r="F16" s="8"/>
      <c r="G16" s="40">
        <v>0</v>
      </c>
      <c r="H16" s="41"/>
      <c r="I16" s="40">
        <v>253</v>
      </c>
      <c r="J16" s="41"/>
      <c r="K16" s="41">
        <v>1750</v>
      </c>
      <c r="L16" s="41"/>
      <c r="M16" s="42">
        <v>0</v>
      </c>
      <c r="N16" s="42">
        <v>0</v>
      </c>
      <c r="O16" s="43"/>
      <c r="P16" s="43">
        <v>0</v>
      </c>
      <c r="Q16" s="43"/>
      <c r="R16" s="43">
        <v>253</v>
      </c>
      <c r="S16" s="43"/>
      <c r="T16" s="43">
        <v>0</v>
      </c>
      <c r="U16" s="65"/>
      <c r="V16" s="43"/>
      <c r="W16" s="65"/>
      <c r="X16" s="43"/>
      <c r="Y16" s="65"/>
      <c r="Z16" s="43"/>
      <c r="AA16" s="65"/>
      <c r="AB16" s="43"/>
      <c r="AC16" s="43"/>
      <c r="AD16" s="156"/>
      <c r="AE16" s="43"/>
    </row>
    <row r="17" spans="1:33" s="130" customFormat="1" hidden="1" x14ac:dyDescent="0.2">
      <c r="A17" s="7"/>
      <c r="B17" s="7"/>
      <c r="C17" s="8"/>
      <c r="D17" s="8" t="s">
        <v>155</v>
      </c>
      <c r="E17" s="8"/>
      <c r="F17" s="8"/>
      <c r="G17" s="57"/>
      <c r="H17" s="41"/>
      <c r="I17" s="40">
        <v>0</v>
      </c>
      <c r="J17" s="41"/>
      <c r="K17" s="72">
        <v>0</v>
      </c>
      <c r="L17" s="41"/>
      <c r="M17" s="42">
        <v>-3347</v>
      </c>
      <c r="N17" s="42"/>
      <c r="O17" s="43"/>
      <c r="P17" s="59">
        <v>9404.33</v>
      </c>
      <c r="Q17" s="43"/>
      <c r="R17" s="59">
        <v>0</v>
      </c>
      <c r="S17" s="43"/>
      <c r="T17" s="76"/>
      <c r="U17" s="79"/>
      <c r="V17" s="76"/>
      <c r="W17" s="79"/>
      <c r="X17" s="76"/>
      <c r="Y17" s="79"/>
      <c r="Z17" s="76"/>
      <c r="AA17" s="79"/>
      <c r="AB17" s="76"/>
      <c r="AC17" s="76"/>
      <c r="AD17" s="157"/>
      <c r="AE17" s="76"/>
      <c r="AG17" s="43"/>
    </row>
    <row r="18" spans="1:33" s="130" customFormat="1" ht="12" thickBot="1" x14ac:dyDescent="0.25">
      <c r="A18" s="7"/>
      <c r="B18" s="7"/>
      <c r="C18" s="8"/>
      <c r="D18" s="8" t="s">
        <v>203</v>
      </c>
      <c r="E18" s="8"/>
      <c r="F18" s="8"/>
      <c r="G18" s="40"/>
      <c r="H18" s="41"/>
      <c r="I18" s="40">
        <v>1000</v>
      </c>
      <c r="J18" s="41"/>
      <c r="K18" s="41"/>
      <c r="L18" s="41"/>
      <c r="M18" s="153"/>
      <c r="N18" s="42"/>
      <c r="O18" s="43"/>
      <c r="P18" s="76"/>
      <c r="Q18" s="43"/>
      <c r="R18" s="76"/>
      <c r="S18" s="43"/>
      <c r="T18" s="76"/>
      <c r="U18" s="79"/>
      <c r="V18" s="136">
        <v>0</v>
      </c>
      <c r="W18" s="79"/>
      <c r="X18" s="154">
        <v>-1000</v>
      </c>
      <c r="Y18" s="106"/>
      <c r="Z18" s="122">
        <v>-1000</v>
      </c>
      <c r="AA18" s="106"/>
      <c r="AB18" s="122">
        <v>-1000</v>
      </c>
      <c r="AC18" s="76"/>
      <c r="AD18" s="163">
        <v>-1000</v>
      </c>
      <c r="AE18" s="76"/>
      <c r="AG18" s="43"/>
    </row>
    <row r="19" spans="1:33" s="130" customFormat="1" x14ac:dyDescent="0.2">
      <c r="A19" s="7"/>
      <c r="B19" s="7"/>
      <c r="C19" s="8" t="s">
        <v>45</v>
      </c>
      <c r="D19" s="8"/>
      <c r="E19" s="8"/>
      <c r="F19" s="8"/>
      <c r="G19" s="40">
        <f>ROUND(SUM(G12:G16),5)</f>
        <v>882154.15</v>
      </c>
      <c r="H19" s="41"/>
      <c r="I19" s="84">
        <f>ROUND(SUM(I12:I18),5)</f>
        <v>1030513</v>
      </c>
      <c r="J19" s="41"/>
      <c r="K19" s="40">
        <f>ROUND(SUM(K12:K17),5)</f>
        <v>997677</v>
      </c>
      <c r="L19" s="41"/>
      <c r="M19" s="40">
        <f>ROUND(SUM(M12:M17),5)</f>
        <v>-1018501.5</v>
      </c>
      <c r="N19" s="45">
        <f>ROUND(SUM(N12:N16),5)</f>
        <v>0</v>
      </c>
      <c r="O19" s="43"/>
      <c r="P19" s="40">
        <f>ROUND(SUM(P12:P17),5)</f>
        <v>359313.33</v>
      </c>
      <c r="Q19" s="43"/>
      <c r="R19" s="40">
        <f>ROUND(SUM(R12:R17),5)</f>
        <v>5753837</v>
      </c>
      <c r="S19" s="43"/>
      <c r="T19" s="40">
        <f>ROUND(SUM(T12:T18),5)</f>
        <v>1086745</v>
      </c>
      <c r="U19" s="40"/>
      <c r="V19" s="40">
        <f>ROUND(SUM(V12:V18),5)</f>
        <v>-375990</v>
      </c>
      <c r="W19" s="40"/>
      <c r="X19" s="40">
        <f>ROUND(SUM(X12:X18),5)</f>
        <v>-1069292</v>
      </c>
      <c r="Y19" s="84"/>
      <c r="Z19" s="40">
        <f>ROUND(SUM(Z12:Z18),5)</f>
        <v>-1072380</v>
      </c>
      <c r="AA19" s="84"/>
      <c r="AB19" s="40">
        <f>ROUND(SUM(AB12:AB18),5)</f>
        <v>-910817</v>
      </c>
      <c r="AC19" s="84"/>
      <c r="AD19" s="162">
        <f>ROUND(SUM(AD12:AD18),5)</f>
        <v>-1127440</v>
      </c>
      <c r="AE19" s="43"/>
      <c r="AG19" s="43"/>
    </row>
    <row r="20" spans="1:33" s="130" customFormat="1" x14ac:dyDescent="0.2">
      <c r="A20" s="7"/>
      <c r="B20" s="7"/>
      <c r="C20" s="8"/>
      <c r="D20" s="8"/>
      <c r="E20" s="8"/>
      <c r="F20" s="8"/>
      <c r="G20" s="40"/>
      <c r="H20" s="41"/>
      <c r="I20" s="40"/>
      <c r="J20" s="41"/>
      <c r="K20" s="40"/>
      <c r="L20" s="41"/>
      <c r="M20" s="40"/>
      <c r="N20" s="44"/>
      <c r="O20" s="43"/>
      <c r="P20" s="40"/>
      <c r="Q20" s="42"/>
      <c r="R20" s="42"/>
      <c r="S20" s="42"/>
      <c r="T20" s="40"/>
      <c r="U20" s="40"/>
      <c r="V20" s="40"/>
      <c r="W20" s="40"/>
      <c r="X20" s="40"/>
      <c r="Y20" s="84"/>
      <c r="Z20" s="40"/>
      <c r="AA20" s="84"/>
      <c r="AB20" s="40"/>
      <c r="AC20" s="40"/>
      <c r="AD20" s="162"/>
      <c r="AE20" s="43"/>
    </row>
    <row r="21" spans="1:33" s="1" customFormat="1" x14ac:dyDescent="0.2">
      <c r="A21" s="146"/>
      <c r="B21" s="146"/>
      <c r="C21" s="147" t="s">
        <v>218</v>
      </c>
      <c r="D21" s="147"/>
      <c r="E21" s="147"/>
      <c r="F21" s="147"/>
      <c r="G21" s="84"/>
      <c r="H21" s="48"/>
      <c r="I21" s="84"/>
      <c r="J21" s="48"/>
      <c r="K21" s="84"/>
      <c r="L21" s="48"/>
      <c r="M21" s="84">
        <f>M9+M19</f>
        <v>349597.5</v>
      </c>
      <c r="N21" s="44"/>
      <c r="O21" s="65"/>
      <c r="P21" s="84"/>
      <c r="Q21" s="44"/>
      <c r="R21" s="44"/>
      <c r="S21" s="44"/>
      <c r="T21" s="84"/>
      <c r="U21" s="84"/>
      <c r="V21" s="84">
        <f>V9+V19</f>
        <v>100120</v>
      </c>
      <c r="W21" s="84"/>
      <c r="X21" s="84">
        <v>445695.2</v>
      </c>
      <c r="Y21" s="84"/>
      <c r="Z21" s="84">
        <f>Z9+Z19</f>
        <v>400720</v>
      </c>
      <c r="AA21" s="84"/>
      <c r="AB21" s="84">
        <f>AB9+AB19</f>
        <v>354141.01</v>
      </c>
      <c r="AC21" s="84"/>
      <c r="AD21" s="162">
        <f>AD9+AD19</f>
        <v>365795</v>
      </c>
      <c r="AE21" s="65"/>
    </row>
    <row r="22" spans="1:33" ht="20.100000000000001" customHeight="1" x14ac:dyDescent="0.2">
      <c r="A22" s="7"/>
      <c r="B22" s="7"/>
      <c r="C22" s="8" t="s">
        <v>6</v>
      </c>
      <c r="D22" s="8"/>
      <c r="E22" s="8"/>
      <c r="F22" s="8"/>
      <c r="G22" s="40"/>
      <c r="H22" s="41"/>
      <c r="I22" s="41"/>
      <c r="J22" s="41"/>
      <c r="K22" s="41"/>
      <c r="L22" s="41"/>
      <c r="M22" s="42"/>
      <c r="N22" s="42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65"/>
      <c r="AA22" s="65"/>
      <c r="AB22" s="43"/>
      <c r="AC22" s="43"/>
      <c r="AD22" s="156"/>
      <c r="AG22" s="43"/>
    </row>
    <row r="23" spans="1:33" x14ac:dyDescent="0.2">
      <c r="A23" s="7"/>
      <c r="B23" s="7"/>
      <c r="C23" s="8"/>
      <c r="D23" s="8" t="s">
        <v>7</v>
      </c>
      <c r="E23" s="8"/>
      <c r="F23" s="8"/>
      <c r="G23" s="40">
        <v>400775.31</v>
      </c>
      <c r="H23" s="41"/>
      <c r="I23" s="45">
        <v>363718.25</v>
      </c>
      <c r="J23" s="41"/>
      <c r="K23" s="41">
        <v>350000</v>
      </c>
      <c r="L23" s="41"/>
      <c r="M23" s="42">
        <v>386526.55</v>
      </c>
      <c r="N23" s="44">
        <v>0</v>
      </c>
      <c r="O23" s="43"/>
      <c r="P23" s="43">
        <v>237585</v>
      </c>
      <c r="Q23" s="43"/>
      <c r="R23" s="43">
        <v>138516.85</v>
      </c>
      <c r="S23" s="43"/>
      <c r="T23" s="43">
        <v>371755</v>
      </c>
      <c r="U23" s="43"/>
      <c r="V23" s="43">
        <v>263497</v>
      </c>
      <c r="W23" s="43"/>
      <c r="X23" s="43">
        <v>577890</v>
      </c>
      <c r="Y23" s="65"/>
      <c r="Z23" s="43">
        <v>600000</v>
      </c>
      <c r="AA23" s="65"/>
      <c r="AB23" s="43">
        <v>282939.55</v>
      </c>
      <c r="AC23" s="43"/>
      <c r="AD23" s="164">
        <v>600000</v>
      </c>
      <c r="AE23" s="5" t="s">
        <v>215</v>
      </c>
    </row>
    <row r="24" spans="1:33" x14ac:dyDescent="0.2">
      <c r="A24" s="7"/>
      <c r="B24" s="7"/>
      <c r="C24" s="8"/>
      <c r="D24" s="8" t="s">
        <v>8</v>
      </c>
      <c r="E24" s="8"/>
      <c r="F24" s="8"/>
      <c r="G24" s="40">
        <v>9135</v>
      </c>
      <c r="H24" s="41"/>
      <c r="I24" s="40">
        <v>9950</v>
      </c>
      <c r="J24" s="41"/>
      <c r="K24" s="41">
        <v>11000</v>
      </c>
      <c r="L24" s="41"/>
      <c r="M24" s="42">
        <v>10665</v>
      </c>
      <c r="N24" s="42">
        <v>0</v>
      </c>
      <c r="O24" s="43"/>
      <c r="P24" s="43">
        <v>7415</v>
      </c>
      <c r="Q24" s="43"/>
      <c r="R24" s="43">
        <v>3555</v>
      </c>
      <c r="S24" s="43"/>
      <c r="T24" s="43">
        <v>10785</v>
      </c>
      <c r="U24" s="43"/>
      <c r="V24" s="43">
        <v>7685</v>
      </c>
      <c r="W24" s="43"/>
      <c r="X24" s="43">
        <v>10856</v>
      </c>
      <c r="Y24" s="65"/>
      <c r="Z24" s="43">
        <v>8000</v>
      </c>
      <c r="AA24" s="65"/>
      <c r="AB24" s="43">
        <v>5490</v>
      </c>
      <c r="AC24" s="43"/>
      <c r="AD24" s="164">
        <v>8000</v>
      </c>
    </row>
    <row r="25" spans="1:33" x14ac:dyDescent="0.2">
      <c r="A25" s="7"/>
      <c r="B25" s="7"/>
      <c r="C25" s="8"/>
      <c r="D25" s="8" t="s">
        <v>9</v>
      </c>
      <c r="E25" s="8"/>
      <c r="F25" s="8"/>
      <c r="G25" s="57">
        <v>1808.01</v>
      </c>
      <c r="H25" s="41"/>
      <c r="I25" s="57">
        <v>3681.94</v>
      </c>
      <c r="J25" s="41"/>
      <c r="K25" s="72">
        <v>1000</v>
      </c>
      <c r="L25" s="41"/>
      <c r="M25" s="58">
        <v>3838.22</v>
      </c>
      <c r="N25" s="42">
        <v>500</v>
      </c>
      <c r="O25" s="43"/>
      <c r="P25" s="59">
        <v>1061</v>
      </c>
      <c r="Q25" s="43"/>
      <c r="R25" s="59">
        <v>1393.43</v>
      </c>
      <c r="S25" s="43"/>
      <c r="T25" s="59">
        <v>960</v>
      </c>
      <c r="U25" s="76"/>
      <c r="V25" s="59">
        <v>1058</v>
      </c>
      <c r="W25" s="76"/>
      <c r="X25" s="59">
        <v>2854</v>
      </c>
      <c r="Y25" s="79"/>
      <c r="Z25" s="59">
        <v>600</v>
      </c>
      <c r="AA25" s="79"/>
      <c r="AB25" s="59">
        <v>898.74</v>
      </c>
      <c r="AC25" s="59"/>
      <c r="AD25" s="158">
        <v>450</v>
      </c>
    </row>
    <row r="26" spans="1:33" s="1" customFormat="1" x14ac:dyDescent="0.2">
      <c r="A26" s="146"/>
      <c r="B26" s="146"/>
      <c r="C26" s="147" t="s">
        <v>10</v>
      </c>
      <c r="D26" s="147"/>
      <c r="E26" s="147"/>
      <c r="F26" s="147"/>
      <c r="G26" s="84">
        <f>ROUND(SUM(G23:G25),5)</f>
        <v>411718.32</v>
      </c>
      <c r="H26" s="48"/>
      <c r="I26" s="84">
        <f>ROUND(SUM(I23:I25),5)</f>
        <v>377350.19</v>
      </c>
      <c r="J26" s="48"/>
      <c r="K26" s="84">
        <f>ROUND(SUM(K23:K25),5)</f>
        <v>362000</v>
      </c>
      <c r="L26" s="48"/>
      <c r="M26" s="84">
        <f>ROUND(SUM(M23:M25),5)</f>
        <v>401029.77</v>
      </c>
      <c r="N26" s="46">
        <f>ROUND(SUM(N23:N25),5)</f>
        <v>500</v>
      </c>
      <c r="O26" s="65"/>
      <c r="P26" s="84">
        <f>ROUND(SUM(P23:P25),5)</f>
        <v>246061</v>
      </c>
      <c r="Q26" s="46"/>
      <c r="R26" s="46"/>
      <c r="S26" s="46"/>
      <c r="T26" s="84">
        <f>ROUND(SUM(T23:T25),5)</f>
        <v>383500</v>
      </c>
      <c r="U26" s="84"/>
      <c r="V26" s="84">
        <f>ROUND(SUM(V23:V25),5)</f>
        <v>272240</v>
      </c>
      <c r="W26" s="84"/>
      <c r="X26" s="84">
        <f>ROUND(SUM(X23:X25),5)</f>
        <v>591600</v>
      </c>
      <c r="Y26" s="84"/>
      <c r="Z26" s="84">
        <f>ROUND(SUM(Z23:Z25),5)</f>
        <v>608600</v>
      </c>
      <c r="AA26" s="84"/>
      <c r="AB26" s="84">
        <f>ROUND(SUM(AB23:AB25),5)</f>
        <v>289328.28999999998</v>
      </c>
      <c r="AC26" s="84"/>
      <c r="AD26" s="162">
        <f>ROUND(SUM(AD23:AD25),5)</f>
        <v>608450</v>
      </c>
    </row>
    <row r="27" spans="1:33" ht="19.5" customHeight="1" x14ac:dyDescent="0.2">
      <c r="A27" s="7"/>
      <c r="B27" s="7"/>
      <c r="C27" s="8" t="s">
        <v>11</v>
      </c>
      <c r="D27" s="8"/>
      <c r="E27" s="8"/>
      <c r="F27" s="8"/>
      <c r="G27" s="40"/>
      <c r="H27" s="41"/>
      <c r="I27" s="41"/>
      <c r="J27" s="41"/>
      <c r="K27" s="41"/>
      <c r="L27" s="41"/>
      <c r="M27" s="42"/>
      <c r="N27" s="42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65"/>
      <c r="AA27" s="65"/>
      <c r="AB27" s="43"/>
      <c r="AC27" s="43"/>
      <c r="AD27" s="156"/>
      <c r="AE27" s="5"/>
    </row>
    <row r="28" spans="1:33" ht="12" x14ac:dyDescent="0.2">
      <c r="A28" s="7"/>
      <c r="B28" s="7"/>
      <c r="C28" s="8"/>
      <c r="D28" s="8" t="s">
        <v>12</v>
      </c>
      <c r="E28" s="8"/>
      <c r="F28" s="8"/>
      <c r="G28" s="40">
        <v>21201.35</v>
      </c>
      <c r="H28" s="41"/>
      <c r="I28" s="47">
        <v>54218</v>
      </c>
      <c r="J28" s="41"/>
      <c r="K28" s="41">
        <v>17280</v>
      </c>
      <c r="L28" s="41"/>
      <c r="M28" s="42">
        <v>17280</v>
      </c>
      <c r="N28" s="44">
        <v>0</v>
      </c>
      <c r="O28" s="43"/>
      <c r="P28" s="43">
        <v>17280</v>
      </c>
      <c r="Q28" s="43"/>
      <c r="R28" s="43">
        <v>0</v>
      </c>
      <c r="S28" s="43"/>
      <c r="T28" s="54">
        <f>60*625</f>
        <v>37500</v>
      </c>
      <c r="U28" s="68"/>
      <c r="V28" s="54">
        <f>625*59</f>
        <v>36875</v>
      </c>
      <c r="W28" s="68"/>
      <c r="X28" s="121">
        <f>1150*60</f>
        <v>69000</v>
      </c>
      <c r="Y28" s="104"/>
      <c r="Z28" s="121">
        <f>650*60</f>
        <v>39000</v>
      </c>
      <c r="AA28" s="104"/>
      <c r="AB28" s="121">
        <v>0</v>
      </c>
      <c r="AC28" s="54"/>
      <c r="AD28" s="165">
        <v>36000</v>
      </c>
      <c r="AE28" s="81" t="s">
        <v>228</v>
      </c>
    </row>
    <row r="29" spans="1:33" x14ac:dyDescent="0.2">
      <c r="A29" s="7"/>
      <c r="B29" s="7"/>
      <c r="C29" s="8"/>
      <c r="D29" s="8" t="s">
        <v>134</v>
      </c>
      <c r="E29" s="8"/>
      <c r="F29" s="8"/>
      <c r="G29" s="40">
        <v>0</v>
      </c>
      <c r="H29" s="41"/>
      <c r="I29" s="40">
        <v>16000</v>
      </c>
      <c r="J29" s="41"/>
      <c r="K29" s="41">
        <v>5760</v>
      </c>
      <c r="L29" s="41"/>
      <c r="M29" s="42">
        <v>2970</v>
      </c>
      <c r="N29" s="42">
        <v>0</v>
      </c>
      <c r="O29" s="43"/>
      <c r="P29" s="43">
        <v>2880</v>
      </c>
      <c r="Q29" s="43"/>
      <c r="R29" s="43">
        <v>0</v>
      </c>
      <c r="S29" s="43"/>
      <c r="T29" s="54">
        <f>32*385</f>
        <v>12320</v>
      </c>
      <c r="U29" s="54"/>
      <c r="V29" s="54">
        <v>12320</v>
      </c>
      <c r="W29" s="54"/>
      <c r="X29" s="54">
        <v>6960</v>
      </c>
      <c r="Y29" s="68"/>
      <c r="Z29" s="99">
        <f>315*32</f>
        <v>10080</v>
      </c>
      <c r="AA29" s="68"/>
      <c r="AB29" s="54">
        <v>10080</v>
      </c>
      <c r="AC29" s="54"/>
      <c r="AD29" s="164">
        <f>115*32</f>
        <v>3680</v>
      </c>
      <c r="AE29" s="82" t="s">
        <v>229</v>
      </c>
    </row>
    <row r="30" spans="1:33" x14ac:dyDescent="0.2">
      <c r="A30" s="7"/>
      <c r="B30" s="7"/>
      <c r="C30" s="8"/>
      <c r="D30" s="8" t="s">
        <v>135</v>
      </c>
      <c r="E30" s="8"/>
      <c r="F30" s="8"/>
      <c r="G30" s="40">
        <v>0</v>
      </c>
      <c r="H30" s="41"/>
      <c r="I30" s="40">
        <v>14350</v>
      </c>
      <c r="J30" s="41"/>
      <c r="K30" s="41">
        <v>25000</v>
      </c>
      <c r="L30" s="41"/>
      <c r="M30" s="42">
        <v>23750</v>
      </c>
      <c r="N30" s="42">
        <v>0</v>
      </c>
      <c r="O30" s="43"/>
      <c r="P30" s="43">
        <v>23750</v>
      </c>
      <c r="Q30" s="43"/>
      <c r="R30" s="43">
        <v>0</v>
      </c>
      <c r="S30" s="43"/>
      <c r="T30" s="54">
        <f>304*75</f>
        <v>22800</v>
      </c>
      <c r="U30" s="54"/>
      <c r="V30" s="54">
        <v>21600</v>
      </c>
      <c r="W30" s="54"/>
      <c r="X30" s="43">
        <v>17450</v>
      </c>
      <c r="Y30" s="65"/>
      <c r="Z30" s="121">
        <v>19110</v>
      </c>
      <c r="AA30" s="65"/>
      <c r="AB30" s="43">
        <v>18005</v>
      </c>
      <c r="AC30" s="54"/>
      <c r="AD30" s="156">
        <v>19110</v>
      </c>
      <c r="AE30" s="82" t="s">
        <v>238</v>
      </c>
    </row>
    <row r="31" spans="1:33" x14ac:dyDescent="0.2">
      <c r="A31" s="7"/>
      <c r="B31" s="7"/>
      <c r="C31" s="8"/>
      <c r="D31" s="8" t="s">
        <v>13</v>
      </c>
      <c r="E31" s="8"/>
      <c r="F31" s="8"/>
      <c r="G31" s="57">
        <v>29145</v>
      </c>
      <c r="H31" s="41"/>
      <c r="I31" s="60">
        <v>18140</v>
      </c>
      <c r="J31" s="41"/>
      <c r="K31" s="72">
        <v>19200</v>
      </c>
      <c r="L31" s="41"/>
      <c r="M31" s="58">
        <v>23660</v>
      </c>
      <c r="N31" s="44">
        <v>0</v>
      </c>
      <c r="O31" s="43"/>
      <c r="P31" s="59">
        <v>23660</v>
      </c>
      <c r="Q31" s="43"/>
      <c r="R31" s="43">
        <v>0</v>
      </c>
      <c r="S31" s="43"/>
      <c r="T31" s="61">
        <f>40*975</f>
        <v>39000</v>
      </c>
      <c r="U31" s="77"/>
      <c r="V31" s="61">
        <f>975*40</f>
        <v>39000</v>
      </c>
      <c r="W31" s="77"/>
      <c r="X31" s="122">
        <v>28800</v>
      </c>
      <c r="Y31" s="106"/>
      <c r="Z31" s="122">
        <f>650*64</f>
        <v>41600</v>
      </c>
      <c r="AA31" s="106"/>
      <c r="AB31" s="122">
        <v>0</v>
      </c>
      <c r="AC31" s="61"/>
      <c r="AD31" s="163">
        <v>0</v>
      </c>
      <c r="AE31" s="83" t="s">
        <v>223</v>
      </c>
    </row>
    <row r="32" spans="1:33" s="1" customFormat="1" x14ac:dyDescent="0.2">
      <c r="A32" s="146"/>
      <c r="B32" s="146"/>
      <c r="C32" s="147" t="s">
        <v>14</v>
      </c>
      <c r="D32" s="147"/>
      <c r="E32" s="147"/>
      <c r="F32" s="147"/>
      <c r="G32" s="84">
        <f>ROUND(SUM(G28:G31),5)</f>
        <v>50346.35</v>
      </c>
      <c r="H32" s="48"/>
      <c r="I32" s="84">
        <f>ROUND(SUM(I28:I31),5)</f>
        <v>102708</v>
      </c>
      <c r="J32" s="48"/>
      <c r="K32" s="84">
        <f>ROUND(SUM(K28:K31),5)</f>
        <v>67240</v>
      </c>
      <c r="L32" s="48"/>
      <c r="M32" s="84">
        <f>ROUND(SUM(M28:M31),5)</f>
        <v>67660</v>
      </c>
      <c r="N32" s="46">
        <f>ROUND(SUM(N28:N31),5)</f>
        <v>0</v>
      </c>
      <c r="O32" s="65"/>
      <c r="P32" s="84">
        <f>ROUND(SUM(P28:P31),5)</f>
        <v>67570</v>
      </c>
      <c r="Q32" s="65"/>
      <c r="R32" s="65"/>
      <c r="S32" s="65"/>
      <c r="T32" s="46">
        <f>ROUND(SUM(T28:T31),5)</f>
        <v>111620</v>
      </c>
      <c r="U32" s="46"/>
      <c r="V32" s="46">
        <f>ROUND(SUM(V28:V31),5)</f>
        <v>109795</v>
      </c>
      <c r="W32" s="46"/>
      <c r="X32" s="46">
        <f>ROUND(SUM(X28:X31),5)</f>
        <v>122210</v>
      </c>
      <c r="Y32" s="46"/>
      <c r="Z32" s="46">
        <f>ROUND(SUM(Z28:Z31),5)</f>
        <v>109790</v>
      </c>
      <c r="AA32" s="46"/>
      <c r="AB32" s="46">
        <f>ROUND(SUM(AB28:AB31),5)</f>
        <v>28085</v>
      </c>
      <c r="AC32" s="46"/>
      <c r="AD32" s="166">
        <f>ROUND(SUM(AD28:AD31),5)</f>
        <v>58790</v>
      </c>
      <c r="AE32" s="31"/>
    </row>
    <row r="33" spans="1:31" ht="19.5" customHeight="1" x14ac:dyDescent="0.2">
      <c r="A33" s="7"/>
      <c r="B33" s="7"/>
      <c r="C33" s="8" t="s">
        <v>15</v>
      </c>
      <c r="D33" s="8"/>
      <c r="E33" s="8"/>
      <c r="F33" s="8"/>
      <c r="G33" s="40"/>
      <c r="H33" s="41"/>
      <c r="I33" s="49"/>
      <c r="J33" s="41"/>
      <c r="K33" s="41"/>
      <c r="L33" s="41"/>
      <c r="M33" s="42"/>
      <c r="N33" s="50"/>
      <c r="O33" s="51"/>
      <c r="P33" s="51"/>
      <c r="Q33" s="51"/>
      <c r="R33" s="51"/>
      <c r="S33" s="51"/>
      <c r="T33" s="85"/>
      <c r="U33" s="51"/>
      <c r="V33" s="85"/>
      <c r="W33" s="51"/>
      <c r="X33" s="85"/>
      <c r="Y33" s="51"/>
      <c r="AA33" s="51"/>
      <c r="AB33" s="85"/>
      <c r="AC33" s="85"/>
      <c r="AD33" s="167"/>
      <c r="AE33" s="32"/>
    </row>
    <row r="34" spans="1:31" x14ac:dyDescent="0.2">
      <c r="A34" s="7"/>
      <c r="B34" s="7"/>
      <c r="C34" s="8"/>
      <c r="D34" s="8" t="s">
        <v>16</v>
      </c>
      <c r="E34" s="8"/>
      <c r="F34" s="8"/>
      <c r="G34" s="40">
        <v>-1525</v>
      </c>
      <c r="H34" s="41"/>
      <c r="I34" s="52">
        <v>7350</v>
      </c>
      <c r="J34" s="41"/>
      <c r="K34" s="41">
        <v>0</v>
      </c>
      <c r="L34" s="41"/>
      <c r="M34" s="42">
        <v>0</v>
      </c>
      <c r="N34" s="53">
        <v>0</v>
      </c>
      <c r="O34" s="51"/>
      <c r="P34" s="51">
        <v>0</v>
      </c>
      <c r="Q34" s="51"/>
      <c r="R34" s="51">
        <v>0</v>
      </c>
      <c r="S34" s="51"/>
      <c r="T34" s="43">
        <v>7200</v>
      </c>
      <c r="U34" s="43"/>
      <c r="V34" s="43">
        <v>6075</v>
      </c>
      <c r="W34" s="43"/>
      <c r="X34" s="43">
        <v>7200</v>
      </c>
      <c r="Y34" s="65"/>
      <c r="AA34" s="65"/>
      <c r="AB34" s="43">
        <v>0</v>
      </c>
      <c r="AC34" s="43"/>
      <c r="AD34" s="156">
        <v>7200</v>
      </c>
      <c r="AE34" s="107" t="s">
        <v>194</v>
      </c>
    </row>
    <row r="35" spans="1:31" x14ac:dyDescent="0.2">
      <c r="A35" s="7"/>
      <c r="B35" s="7"/>
      <c r="C35" s="8"/>
      <c r="D35" s="8" t="s">
        <v>17</v>
      </c>
      <c r="E35" s="8"/>
      <c r="F35" s="8"/>
      <c r="G35" s="40">
        <v>2835</v>
      </c>
      <c r="H35" s="41"/>
      <c r="I35" s="40">
        <v>2820</v>
      </c>
      <c r="J35" s="41"/>
      <c r="K35" s="41">
        <v>2820</v>
      </c>
      <c r="L35" s="41"/>
      <c r="M35" s="42">
        <v>3050</v>
      </c>
      <c r="N35" s="42">
        <v>0</v>
      </c>
      <c r="O35" s="43"/>
      <c r="P35" s="43">
        <v>3050</v>
      </c>
      <c r="Q35" s="43"/>
      <c r="R35" s="43">
        <v>0</v>
      </c>
      <c r="S35" s="43"/>
      <c r="T35" s="43">
        <v>2850</v>
      </c>
      <c r="U35" s="43"/>
      <c r="V35" s="43">
        <v>2295</v>
      </c>
      <c r="W35" s="43"/>
      <c r="X35" s="43">
        <v>3120</v>
      </c>
      <c r="Y35" s="65"/>
      <c r="Z35" s="43">
        <v>2880</v>
      </c>
      <c r="AA35" s="65"/>
      <c r="AB35" s="43">
        <f>49*60</f>
        <v>2940</v>
      </c>
      <c r="AC35" s="43"/>
      <c r="AD35" s="156">
        <v>2880</v>
      </c>
      <c r="AE35" s="3" t="s">
        <v>192</v>
      </c>
    </row>
    <row r="36" spans="1:31" x14ac:dyDescent="0.2">
      <c r="A36" s="7"/>
      <c r="B36" s="7"/>
      <c r="C36" s="8"/>
      <c r="D36" s="8" t="s">
        <v>209</v>
      </c>
      <c r="E36" s="8"/>
      <c r="F36" s="8"/>
      <c r="G36" s="40">
        <v>765</v>
      </c>
      <c r="H36" s="41"/>
      <c r="I36" s="40">
        <v>735</v>
      </c>
      <c r="J36" s="41"/>
      <c r="K36" s="41">
        <v>720</v>
      </c>
      <c r="L36" s="41"/>
      <c r="M36" s="42">
        <v>750</v>
      </c>
      <c r="N36" s="42">
        <v>0</v>
      </c>
      <c r="O36" s="43"/>
      <c r="P36" s="43">
        <v>750</v>
      </c>
      <c r="Q36" s="43"/>
      <c r="R36" s="43">
        <v>0</v>
      </c>
      <c r="S36" s="43"/>
      <c r="T36" s="43">
        <v>720</v>
      </c>
      <c r="U36" s="43"/>
      <c r="V36" s="43">
        <v>540</v>
      </c>
      <c r="W36" s="43"/>
      <c r="X36" s="43">
        <v>450</v>
      </c>
      <c r="Y36" s="65"/>
      <c r="Z36" s="43">
        <v>720</v>
      </c>
      <c r="AA36" s="65"/>
      <c r="AB36" s="43"/>
      <c r="AC36" s="43"/>
      <c r="AD36" s="156">
        <v>720</v>
      </c>
      <c r="AE36" s="3" t="s">
        <v>193</v>
      </c>
    </row>
    <row r="37" spans="1:31" x14ac:dyDescent="0.2">
      <c r="A37" s="7"/>
      <c r="B37" s="7"/>
      <c r="C37" s="8"/>
      <c r="D37" s="8" t="s">
        <v>18</v>
      </c>
      <c r="E37" s="8"/>
      <c r="F37" s="8"/>
      <c r="G37" s="40">
        <v>3300</v>
      </c>
      <c r="H37" s="41"/>
      <c r="I37" s="40">
        <v>3540</v>
      </c>
      <c r="J37" s="41"/>
      <c r="K37" s="41">
        <v>3600</v>
      </c>
      <c r="L37" s="41"/>
      <c r="M37" s="42">
        <v>2940</v>
      </c>
      <c r="N37" s="42">
        <v>0</v>
      </c>
      <c r="O37" s="43"/>
      <c r="P37" s="43">
        <v>0</v>
      </c>
      <c r="Q37" s="43"/>
      <c r="R37" s="43">
        <v>3540</v>
      </c>
      <c r="S37" s="43"/>
      <c r="T37" s="43">
        <v>3600</v>
      </c>
      <c r="U37" s="43"/>
      <c r="V37" s="43">
        <v>0</v>
      </c>
      <c r="W37" s="43"/>
      <c r="X37" s="43">
        <v>2580</v>
      </c>
      <c r="Y37" s="65"/>
      <c r="Z37" s="43">
        <v>3000</v>
      </c>
      <c r="AA37" s="65"/>
      <c r="AB37" s="43">
        <v>0</v>
      </c>
      <c r="AC37" s="99"/>
      <c r="AD37" s="156">
        <v>3000</v>
      </c>
      <c r="AE37" s="3" t="s">
        <v>200</v>
      </c>
    </row>
    <row r="38" spans="1:31" x14ac:dyDescent="0.2">
      <c r="A38" s="7"/>
      <c r="B38" s="7"/>
      <c r="C38" s="8"/>
      <c r="D38" s="8" t="s">
        <v>19</v>
      </c>
      <c r="E38" s="8"/>
      <c r="F38" s="8"/>
      <c r="G38" s="57">
        <v>510</v>
      </c>
      <c r="H38" s="41"/>
      <c r="I38" s="57">
        <v>330</v>
      </c>
      <c r="J38" s="41"/>
      <c r="K38" s="72">
        <v>600</v>
      </c>
      <c r="L38" s="41"/>
      <c r="M38" s="58">
        <v>750</v>
      </c>
      <c r="N38" s="42">
        <v>0</v>
      </c>
      <c r="O38" s="43"/>
      <c r="P38" s="59">
        <v>0</v>
      </c>
      <c r="Q38" s="43"/>
      <c r="R38" s="59">
        <v>330</v>
      </c>
      <c r="S38" s="43"/>
      <c r="T38" s="59">
        <v>600</v>
      </c>
      <c r="U38" s="76"/>
      <c r="V38" s="59">
        <v>0</v>
      </c>
      <c r="W38" s="76"/>
      <c r="X38" s="59">
        <v>945</v>
      </c>
      <c r="Y38" s="79"/>
      <c r="Z38" s="59">
        <v>600</v>
      </c>
      <c r="AA38" s="79"/>
      <c r="AB38" s="59">
        <v>730</v>
      </c>
      <c r="AC38" s="59"/>
      <c r="AD38" s="158">
        <v>600</v>
      </c>
      <c r="AE38" s="3" t="s">
        <v>201</v>
      </c>
    </row>
    <row r="39" spans="1:31" s="1" customFormat="1" x14ac:dyDescent="0.2">
      <c r="A39" s="146"/>
      <c r="B39" s="146"/>
      <c r="C39" s="147" t="s">
        <v>20</v>
      </c>
      <c r="D39" s="147"/>
      <c r="E39" s="147"/>
      <c r="F39" s="147"/>
      <c r="G39" s="84">
        <f>ROUND(SUM(G34:G38),5)</f>
        <v>5885</v>
      </c>
      <c r="H39" s="48"/>
      <c r="I39" s="84">
        <f>ROUND(SUM(I34:I38),5)</f>
        <v>14775</v>
      </c>
      <c r="J39" s="48"/>
      <c r="K39" s="84">
        <f>ROUND(SUM(K34:K38),5)</f>
        <v>7740</v>
      </c>
      <c r="L39" s="48"/>
      <c r="M39" s="84">
        <f>ROUND(SUM(M34:M38),5)</f>
        <v>7490</v>
      </c>
      <c r="N39" s="46">
        <f>ROUND(SUM(N34:N38),5)</f>
        <v>0</v>
      </c>
      <c r="O39" s="65"/>
      <c r="P39" s="84">
        <f>ROUND(SUM(P34:P38),5)</f>
        <v>3800</v>
      </c>
      <c r="Q39" s="65"/>
      <c r="R39" s="65"/>
      <c r="S39" s="65"/>
      <c r="T39" s="84">
        <f>ROUND(SUM(T34:T38),5)</f>
        <v>14970</v>
      </c>
      <c r="U39" s="84"/>
      <c r="V39" s="84">
        <f>ROUND(SUM(V34:V38),5)</f>
        <v>8910</v>
      </c>
      <c r="W39" s="84"/>
      <c r="X39" s="84">
        <f>ROUND(SUM(X34:X38),5)</f>
        <v>14295</v>
      </c>
      <c r="Y39" s="84"/>
      <c r="Z39" s="84">
        <f>ROUND(SUM(Z35:Z38),5)</f>
        <v>7200</v>
      </c>
      <c r="AA39" s="84"/>
      <c r="AB39" s="84">
        <f>ROUND(SUM(AB34:AB38),5)</f>
        <v>3670</v>
      </c>
      <c r="AC39" s="84"/>
      <c r="AD39" s="162">
        <f>ROUND(SUM(AD34:AD38),5)</f>
        <v>14400</v>
      </c>
    </row>
    <row r="40" spans="1:31" ht="20.100000000000001" customHeight="1" x14ac:dyDescent="0.2">
      <c r="A40" s="7"/>
      <c r="B40" s="7"/>
      <c r="C40" s="8" t="s">
        <v>21</v>
      </c>
      <c r="D40" s="8"/>
      <c r="E40" s="8"/>
      <c r="F40" s="8"/>
      <c r="G40" s="40"/>
      <c r="H40" s="41"/>
      <c r="I40" s="41"/>
      <c r="J40" s="41"/>
      <c r="K40" s="41"/>
      <c r="L40" s="41"/>
      <c r="M40" s="42"/>
      <c r="N40" s="42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65"/>
      <c r="AA40" s="65"/>
      <c r="AB40" s="43"/>
      <c r="AC40" s="43"/>
      <c r="AD40" s="156"/>
    </row>
    <row r="41" spans="1:31" hidden="1" x14ac:dyDescent="0.2">
      <c r="A41" s="7"/>
      <c r="B41" s="7"/>
      <c r="C41" s="8"/>
      <c r="D41" s="8" t="s">
        <v>22</v>
      </c>
      <c r="E41" s="8"/>
      <c r="F41" s="8"/>
      <c r="G41" s="40">
        <v>960</v>
      </c>
      <c r="H41" s="41"/>
      <c r="I41" s="41">
        <v>0</v>
      </c>
      <c r="J41" s="41"/>
      <c r="K41" s="41"/>
      <c r="L41" s="41"/>
      <c r="M41" s="42">
        <v>0</v>
      </c>
      <c r="N41" s="42">
        <v>0</v>
      </c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65"/>
      <c r="AA41" s="65"/>
      <c r="AB41" s="43"/>
      <c r="AC41" s="43"/>
      <c r="AD41" s="156"/>
    </row>
    <row r="42" spans="1:31" x14ac:dyDescent="0.2">
      <c r="A42" s="7"/>
      <c r="B42" s="7"/>
      <c r="C42" s="8"/>
      <c r="D42" s="8" t="s">
        <v>23</v>
      </c>
      <c r="E42" s="8"/>
      <c r="F42" s="8"/>
      <c r="G42" s="40">
        <v>500</v>
      </c>
      <c r="H42" s="41"/>
      <c r="I42" s="57">
        <v>525</v>
      </c>
      <c r="J42" s="41"/>
      <c r="K42" s="41">
        <v>200</v>
      </c>
      <c r="L42" s="41"/>
      <c r="M42" s="58">
        <v>300</v>
      </c>
      <c r="N42" s="42">
        <v>0</v>
      </c>
      <c r="O42" s="43"/>
      <c r="P42" s="43">
        <v>225</v>
      </c>
      <c r="Q42" s="43"/>
      <c r="R42" s="43">
        <v>250</v>
      </c>
      <c r="S42" s="43"/>
      <c r="T42" s="54">
        <v>300</v>
      </c>
      <c r="U42" s="54"/>
      <c r="V42" s="61">
        <v>200</v>
      </c>
      <c r="W42" s="54"/>
      <c r="X42" s="59">
        <v>350</v>
      </c>
      <c r="Y42" s="79"/>
      <c r="Z42" s="59">
        <v>500</v>
      </c>
      <c r="AA42" s="79"/>
      <c r="AB42" s="59">
        <v>350</v>
      </c>
      <c r="AC42" s="54"/>
      <c r="AD42" s="158">
        <v>500</v>
      </c>
      <c r="AE42" s="3" t="s">
        <v>232</v>
      </c>
    </row>
    <row r="43" spans="1:31" hidden="1" x14ac:dyDescent="0.2">
      <c r="A43" s="7"/>
      <c r="B43" s="7"/>
      <c r="C43" s="8"/>
      <c r="D43" s="8" t="s">
        <v>24</v>
      </c>
      <c r="E43" s="8"/>
      <c r="F43" s="8"/>
      <c r="G43" s="40">
        <v>140</v>
      </c>
      <c r="H43" s="41"/>
      <c r="I43" s="41">
        <v>0</v>
      </c>
      <c r="J43" s="41"/>
      <c r="K43" s="41"/>
      <c r="L43" s="41"/>
      <c r="M43" s="42">
        <v>0</v>
      </c>
      <c r="N43" s="42">
        <v>0</v>
      </c>
      <c r="O43" s="43"/>
      <c r="P43" s="43"/>
      <c r="Q43" s="43"/>
      <c r="R43" s="43"/>
      <c r="S43" s="43"/>
      <c r="T43" s="54"/>
      <c r="U43" s="54"/>
      <c r="V43" s="54"/>
      <c r="W43" s="54"/>
      <c r="X43" s="54"/>
      <c r="Y43" s="68"/>
      <c r="Z43" s="54"/>
      <c r="AA43" s="68"/>
      <c r="AB43" s="54"/>
      <c r="AC43" s="54"/>
      <c r="AD43" s="164"/>
    </row>
    <row r="44" spans="1:31" hidden="1" x14ac:dyDescent="0.2">
      <c r="A44" s="7"/>
      <c r="B44" s="7"/>
      <c r="C44" s="8"/>
      <c r="D44" s="8" t="s">
        <v>25</v>
      </c>
      <c r="E44" s="8"/>
      <c r="F44" s="8"/>
      <c r="G44" s="40">
        <v>3150</v>
      </c>
      <c r="H44" s="41"/>
      <c r="I44" s="41">
        <v>0</v>
      </c>
      <c r="J44" s="41"/>
      <c r="K44" s="41"/>
      <c r="L44" s="41"/>
      <c r="M44" s="42">
        <v>0</v>
      </c>
      <c r="N44" s="42">
        <v>0</v>
      </c>
      <c r="O44" s="43"/>
      <c r="P44" s="43"/>
      <c r="Q44" s="43"/>
      <c r="R44" s="43"/>
      <c r="S44" s="43"/>
      <c r="T44" s="54"/>
      <c r="U44" s="54"/>
      <c r="V44" s="54"/>
      <c r="W44" s="54"/>
      <c r="X44" s="54"/>
      <c r="Y44" s="68"/>
      <c r="Z44" s="54"/>
      <c r="AA44" s="68"/>
      <c r="AB44" s="54"/>
      <c r="AC44" s="54"/>
      <c r="AD44" s="164"/>
    </row>
    <row r="45" spans="1:31" hidden="1" x14ac:dyDescent="0.2">
      <c r="A45" s="7"/>
      <c r="B45" s="7"/>
      <c r="C45" s="8"/>
      <c r="D45" s="8" t="s">
        <v>138</v>
      </c>
      <c r="E45" s="8"/>
      <c r="F45" s="8"/>
      <c r="G45" s="57">
        <v>0</v>
      </c>
      <c r="H45" s="41"/>
      <c r="I45" s="57">
        <v>0</v>
      </c>
      <c r="J45" s="41"/>
      <c r="K45" s="72">
        <v>2000</v>
      </c>
      <c r="L45" s="41"/>
      <c r="M45" s="58">
        <v>0</v>
      </c>
      <c r="N45" s="42">
        <v>0</v>
      </c>
      <c r="O45" s="43"/>
      <c r="P45" s="59">
        <v>0</v>
      </c>
      <c r="Q45" s="43"/>
      <c r="R45" s="43"/>
      <c r="S45" s="43"/>
      <c r="T45" s="61">
        <v>0</v>
      </c>
      <c r="U45" s="78"/>
      <c r="V45" s="61">
        <v>0</v>
      </c>
      <c r="W45" s="78"/>
      <c r="X45" s="59" t="e">
        <f>#REF!+#REF!</f>
        <v>#REF!</v>
      </c>
      <c r="Y45" s="79"/>
      <c r="Z45" s="40">
        <f>ROUND(SUM(Z42),5)</f>
        <v>500</v>
      </c>
      <c r="AA45" s="79"/>
      <c r="AB45" s="76"/>
      <c r="AC45" s="78"/>
      <c r="AD45" s="157"/>
    </row>
    <row r="46" spans="1:31" hidden="1" x14ac:dyDescent="0.2">
      <c r="A46" s="7"/>
      <c r="B46" s="7"/>
      <c r="C46" s="8"/>
      <c r="D46" s="8" t="s">
        <v>26</v>
      </c>
      <c r="E46" s="8"/>
      <c r="F46" s="8"/>
      <c r="G46" s="40">
        <v>2400</v>
      </c>
      <c r="H46" s="41"/>
      <c r="I46" s="41">
        <v>0</v>
      </c>
      <c r="J46" s="41"/>
      <c r="K46" s="41"/>
      <c r="L46" s="41"/>
      <c r="M46" s="42">
        <v>0</v>
      </c>
      <c r="N46" s="42">
        <v>0</v>
      </c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65"/>
      <c r="Z46" s="43"/>
      <c r="AA46" s="65"/>
      <c r="AB46" s="43"/>
      <c r="AC46" s="43"/>
      <c r="AD46" s="156"/>
    </row>
    <row r="47" spans="1:31" s="1" customFormat="1" x14ac:dyDescent="0.2">
      <c r="A47" s="146"/>
      <c r="B47" s="146"/>
      <c r="C47" s="147" t="s">
        <v>27</v>
      </c>
      <c r="D47" s="147"/>
      <c r="E47" s="147"/>
      <c r="F47" s="147"/>
      <c r="G47" s="84">
        <f>ROUND(SUM(G41:G46),5)</f>
        <v>7150</v>
      </c>
      <c r="H47" s="48"/>
      <c r="I47" s="84">
        <f>ROUND(SUM(I41:I46),5)</f>
        <v>525</v>
      </c>
      <c r="J47" s="48"/>
      <c r="K47" s="84">
        <f>ROUND(SUM(K41:K46),5)</f>
        <v>2200</v>
      </c>
      <c r="L47" s="48"/>
      <c r="M47" s="84">
        <f>ROUND(SUM(M41:M46),5)</f>
        <v>300</v>
      </c>
      <c r="N47" s="46">
        <f>ROUND(SUM(N41:N46),5)</f>
        <v>0</v>
      </c>
      <c r="O47" s="65"/>
      <c r="P47" s="84">
        <f>ROUND(SUM(P41:P46),5)</f>
        <v>225</v>
      </c>
      <c r="Q47" s="65"/>
      <c r="R47" s="65"/>
      <c r="S47" s="65"/>
      <c r="T47" s="84">
        <f>ROUND(SUM(T41:T46),5)</f>
        <v>300</v>
      </c>
      <c r="U47" s="84"/>
      <c r="V47" s="84">
        <f>ROUND(SUM(V41:V46),5)</f>
        <v>200</v>
      </c>
      <c r="W47" s="84"/>
      <c r="X47" s="84">
        <f>ROUND(SUM(X42),5)</f>
        <v>350</v>
      </c>
      <c r="Y47" s="84"/>
      <c r="Z47" s="1">
        <v>500</v>
      </c>
      <c r="AA47" s="84"/>
      <c r="AB47" s="84">
        <f>ROUND(SUM(AB42),5)</f>
        <v>350</v>
      </c>
      <c r="AC47" s="84"/>
      <c r="AD47" s="162">
        <f>ROUND(SUM(AD42),5)</f>
        <v>500</v>
      </c>
    </row>
    <row r="48" spans="1:31" ht="20.100000000000001" customHeight="1" x14ac:dyDescent="0.2">
      <c r="A48" s="7"/>
      <c r="B48" s="7"/>
      <c r="C48" s="8" t="s">
        <v>28</v>
      </c>
      <c r="D48" s="8"/>
      <c r="E48" s="8"/>
      <c r="F48" s="8"/>
      <c r="G48" s="40"/>
      <c r="H48" s="41"/>
      <c r="I48" s="41"/>
      <c r="J48" s="41"/>
      <c r="K48" s="41"/>
      <c r="L48" s="41"/>
      <c r="M48" s="42"/>
      <c r="N48" s="42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65"/>
      <c r="AA48" s="65"/>
      <c r="AB48" s="43"/>
      <c r="AC48" s="43"/>
      <c r="AD48" s="156"/>
    </row>
    <row r="49" spans="1:31" x14ac:dyDescent="0.2">
      <c r="A49" s="7"/>
      <c r="B49" s="7"/>
      <c r="C49" s="8"/>
      <c r="D49" s="8" t="s">
        <v>29</v>
      </c>
      <c r="E49" s="8"/>
      <c r="F49" s="8"/>
      <c r="G49" s="40">
        <v>2515</v>
      </c>
      <c r="H49" s="41"/>
      <c r="I49" s="45">
        <v>3150</v>
      </c>
      <c r="J49" s="41"/>
      <c r="K49" s="41">
        <v>2500</v>
      </c>
      <c r="L49" s="41"/>
      <c r="M49" s="42">
        <v>6077</v>
      </c>
      <c r="N49" s="42">
        <v>0</v>
      </c>
      <c r="O49" s="43"/>
      <c r="P49" s="43">
        <v>4203</v>
      </c>
      <c r="Q49" s="43"/>
      <c r="R49" s="43">
        <v>1010</v>
      </c>
      <c r="S49" s="43"/>
      <c r="T49" s="43">
        <v>5300</v>
      </c>
      <c r="U49" s="43"/>
      <c r="V49" s="43">
        <v>3960</v>
      </c>
      <c r="W49" s="43"/>
      <c r="X49" s="43">
        <v>4409</v>
      </c>
      <c r="Y49" s="65"/>
      <c r="Z49" s="43">
        <v>6000</v>
      </c>
      <c r="AA49" s="65"/>
      <c r="AB49" s="43">
        <v>3645</v>
      </c>
      <c r="AC49" s="43"/>
      <c r="AD49" s="156">
        <v>6000</v>
      </c>
    </row>
    <row r="50" spans="1:31" x14ac:dyDescent="0.2">
      <c r="A50" s="7"/>
      <c r="B50" s="7"/>
      <c r="C50" s="8"/>
      <c r="D50" s="8" t="s">
        <v>30</v>
      </c>
      <c r="E50" s="8"/>
      <c r="F50" s="8"/>
      <c r="G50" s="40">
        <v>-1820</v>
      </c>
      <c r="H50" s="41"/>
      <c r="I50" s="45">
        <v>-3065</v>
      </c>
      <c r="J50" s="41"/>
      <c r="K50" s="41">
        <v>-1800</v>
      </c>
      <c r="L50" s="41"/>
      <c r="M50" s="42">
        <v>-5025</v>
      </c>
      <c r="N50" s="42">
        <v>0</v>
      </c>
      <c r="O50" s="43"/>
      <c r="P50" s="43">
        <v>-3330</v>
      </c>
      <c r="Q50" s="43"/>
      <c r="R50" s="43">
        <v>-900</v>
      </c>
      <c r="S50" s="43"/>
      <c r="T50" s="43">
        <v>-4800</v>
      </c>
      <c r="U50" s="43"/>
      <c r="V50" s="43">
        <v>-3300</v>
      </c>
      <c r="W50" s="43"/>
      <c r="X50" s="43">
        <v>-3249</v>
      </c>
      <c r="Y50" s="65"/>
      <c r="Z50" s="43">
        <v>-5200</v>
      </c>
      <c r="AA50" s="65"/>
      <c r="AB50" s="43">
        <v>-2230</v>
      </c>
      <c r="AC50" s="43"/>
      <c r="AD50" s="156">
        <v>-5200</v>
      </c>
    </row>
    <row r="51" spans="1:31" x14ac:dyDescent="0.2">
      <c r="A51" s="7"/>
      <c r="B51" s="7"/>
      <c r="C51" s="8"/>
      <c r="D51" s="8" t="s">
        <v>31</v>
      </c>
      <c r="E51" s="8"/>
      <c r="F51" s="8"/>
      <c r="G51" s="40">
        <v>1695</v>
      </c>
      <c r="H51" s="41"/>
      <c r="I51" s="40">
        <v>1870</v>
      </c>
      <c r="J51" s="41"/>
      <c r="K51" s="41">
        <v>1695</v>
      </c>
      <c r="L51" s="41"/>
      <c r="M51" s="42">
        <v>1630</v>
      </c>
      <c r="N51" s="42">
        <v>0</v>
      </c>
      <c r="O51" s="43"/>
      <c r="P51" s="43">
        <v>0</v>
      </c>
      <c r="Q51" s="43"/>
      <c r="R51" s="43">
        <v>1870</v>
      </c>
      <c r="S51" s="43"/>
      <c r="T51" s="43">
        <v>1800</v>
      </c>
      <c r="U51" s="43"/>
      <c r="V51" s="43">
        <v>0</v>
      </c>
      <c r="W51" s="43"/>
      <c r="X51" s="43">
        <v>3245</v>
      </c>
      <c r="Y51" s="65"/>
      <c r="Z51" s="43">
        <v>3250</v>
      </c>
      <c r="AA51" s="65"/>
      <c r="AB51" s="43">
        <v>3110</v>
      </c>
      <c r="AC51" s="43"/>
      <c r="AD51" s="156">
        <v>3250</v>
      </c>
      <c r="AE51" s="124" t="s">
        <v>198</v>
      </c>
    </row>
    <row r="52" spans="1:31" x14ac:dyDescent="0.2">
      <c r="A52" s="7"/>
      <c r="B52" s="7"/>
      <c r="C52" s="8"/>
      <c r="D52" s="8" t="s">
        <v>32</v>
      </c>
      <c r="E52" s="8"/>
      <c r="F52" s="8"/>
      <c r="G52" s="40">
        <f>500</f>
        <v>500</v>
      </c>
      <c r="H52" s="41"/>
      <c r="I52" s="40">
        <f>250</f>
        <v>250</v>
      </c>
      <c r="J52" s="41"/>
      <c r="K52" s="41">
        <v>300</v>
      </c>
      <c r="L52" s="41"/>
      <c r="M52" s="42">
        <v>200</v>
      </c>
      <c r="N52" s="42">
        <v>300</v>
      </c>
      <c r="O52" s="43"/>
      <c r="P52" s="43">
        <v>0</v>
      </c>
      <c r="Q52" s="43"/>
      <c r="R52" s="43">
        <v>25</v>
      </c>
      <c r="S52" s="43"/>
      <c r="T52" s="43">
        <v>300</v>
      </c>
      <c r="U52" s="43"/>
      <c r="V52" s="43">
        <v>150</v>
      </c>
      <c r="W52" s="43"/>
      <c r="X52" s="43">
        <v>1975</v>
      </c>
      <c r="Y52" s="65"/>
      <c r="Z52" s="43">
        <v>600</v>
      </c>
      <c r="AA52" s="65"/>
      <c r="AB52" s="43">
        <v>150</v>
      </c>
      <c r="AC52" s="43"/>
      <c r="AD52" s="156">
        <v>600</v>
      </c>
      <c r="AE52" s="3" t="s">
        <v>216</v>
      </c>
    </row>
    <row r="53" spans="1:31" x14ac:dyDescent="0.2">
      <c r="A53" s="7"/>
      <c r="B53" s="7"/>
      <c r="C53" s="8"/>
      <c r="D53" s="8" t="s">
        <v>33</v>
      </c>
      <c r="E53" s="8"/>
      <c r="F53" s="8"/>
      <c r="G53" s="40">
        <v>3025</v>
      </c>
      <c r="H53" s="41"/>
      <c r="I53" s="40">
        <v>65</v>
      </c>
      <c r="J53" s="41"/>
      <c r="K53" s="41">
        <v>0</v>
      </c>
      <c r="L53" s="41"/>
      <c r="M53" s="42">
        <v>74</v>
      </c>
      <c r="N53" s="42">
        <v>100</v>
      </c>
      <c r="O53" s="43"/>
      <c r="P53" s="43">
        <v>30</v>
      </c>
      <c r="Q53" s="43"/>
      <c r="R53" s="43">
        <v>65</v>
      </c>
      <c r="S53" s="43"/>
      <c r="T53" s="43">
        <v>0</v>
      </c>
      <c r="U53" s="43"/>
      <c r="V53" s="43">
        <v>75</v>
      </c>
      <c r="W53" s="43"/>
      <c r="X53" s="43">
        <v>123</v>
      </c>
      <c r="Y53" s="65"/>
      <c r="Z53" s="43">
        <v>0</v>
      </c>
      <c r="AA53" s="65"/>
      <c r="AB53" s="43">
        <v>695.48</v>
      </c>
      <c r="AC53" s="43"/>
      <c r="AD53" s="156">
        <v>0</v>
      </c>
    </row>
    <row r="54" spans="1:31" x14ac:dyDescent="0.2">
      <c r="A54" s="7"/>
      <c r="B54" s="7"/>
      <c r="C54" s="8"/>
      <c r="D54" s="8" t="s">
        <v>34</v>
      </c>
      <c r="E54" s="8"/>
      <c r="F54" s="8"/>
      <c r="G54" s="57">
        <v>450</v>
      </c>
      <c r="H54" s="41"/>
      <c r="I54" s="57">
        <v>650</v>
      </c>
      <c r="J54" s="41"/>
      <c r="K54" s="72">
        <v>500</v>
      </c>
      <c r="L54" s="41"/>
      <c r="M54" s="58">
        <v>100</v>
      </c>
      <c r="N54" s="42">
        <v>0</v>
      </c>
      <c r="O54" s="43"/>
      <c r="P54" s="59">
        <v>25</v>
      </c>
      <c r="Q54" s="43"/>
      <c r="R54" s="59">
        <v>225</v>
      </c>
      <c r="S54" s="43"/>
      <c r="T54" s="59">
        <v>300</v>
      </c>
      <c r="U54" s="76"/>
      <c r="V54" s="59">
        <v>75</v>
      </c>
      <c r="W54" s="76"/>
      <c r="X54" s="59">
        <v>75</v>
      </c>
      <c r="Y54" s="79"/>
      <c r="Z54" s="59">
        <v>200</v>
      </c>
      <c r="AA54" s="79"/>
      <c r="AB54" s="59">
        <v>175</v>
      </c>
      <c r="AC54" s="59"/>
      <c r="AD54" s="158">
        <v>200</v>
      </c>
    </row>
    <row r="55" spans="1:31" s="1" customFormat="1" x14ac:dyDescent="0.2">
      <c r="A55" s="146"/>
      <c r="B55" s="146"/>
      <c r="C55" s="147" t="s">
        <v>35</v>
      </c>
      <c r="D55" s="147"/>
      <c r="E55" s="147"/>
      <c r="F55" s="147"/>
      <c r="G55" s="84">
        <f>ROUND(SUM(G49:G54),5)</f>
        <v>6365</v>
      </c>
      <c r="H55" s="48"/>
      <c r="I55" s="84">
        <f>ROUND(SUM(I49:I54),5)</f>
        <v>2920</v>
      </c>
      <c r="J55" s="48"/>
      <c r="K55" s="84">
        <f>ROUND(SUM(K49:K54),5)</f>
        <v>3195</v>
      </c>
      <c r="L55" s="48"/>
      <c r="M55" s="84">
        <f>ROUND(SUM(M49:M54),5)</f>
        <v>3056</v>
      </c>
      <c r="N55" s="46">
        <f>ROUND(SUM(N49:N54),5)</f>
        <v>400</v>
      </c>
      <c r="O55" s="65"/>
      <c r="P55" s="84">
        <f>ROUND(SUM(P49:P54),5)</f>
        <v>928</v>
      </c>
      <c r="Q55" s="65"/>
      <c r="R55" s="65"/>
      <c r="S55" s="65"/>
      <c r="T55" s="84">
        <f>ROUND(SUM(T49:T54),5)</f>
        <v>2900</v>
      </c>
      <c r="U55" s="84"/>
      <c r="V55" s="84">
        <f>ROUND(SUM(V49:V54),5)</f>
        <v>960</v>
      </c>
      <c r="W55" s="84"/>
      <c r="X55" s="84">
        <f>ROUND(SUM(X49:X54),5)</f>
        <v>6578</v>
      </c>
      <c r="Y55" s="84"/>
      <c r="Z55" s="84">
        <f>ROUND(SUM(Z49:Z54),5)</f>
        <v>4850</v>
      </c>
      <c r="AA55" s="84"/>
      <c r="AB55" s="84">
        <f>ROUND(SUM(AB49:AB54),5)</f>
        <v>5545.48</v>
      </c>
      <c r="AC55" s="84"/>
      <c r="AD55" s="162">
        <f>ROUND(SUM(AD49:AD54),5)</f>
        <v>4850</v>
      </c>
    </row>
    <row r="56" spans="1:31" ht="15" customHeight="1" x14ac:dyDescent="0.2">
      <c r="A56" s="7"/>
      <c r="B56" s="7"/>
      <c r="C56" s="8" t="s">
        <v>36</v>
      </c>
      <c r="D56" s="8"/>
      <c r="E56" s="8"/>
      <c r="F56" s="8"/>
      <c r="G56" s="40">
        <v>745.86</v>
      </c>
      <c r="H56" s="41"/>
      <c r="I56" s="40">
        <v>248</v>
      </c>
      <c r="J56" s="41"/>
      <c r="K56" s="41">
        <v>600</v>
      </c>
      <c r="L56" s="41"/>
      <c r="M56" s="42">
        <v>277.92</v>
      </c>
      <c r="N56" s="42">
        <v>600</v>
      </c>
      <c r="O56" s="43"/>
      <c r="P56" s="43">
        <v>194.18</v>
      </c>
      <c r="Q56" s="43"/>
      <c r="R56" s="43">
        <v>44.52</v>
      </c>
      <c r="S56" s="43"/>
      <c r="T56" s="43">
        <v>300</v>
      </c>
      <c r="U56" s="43"/>
      <c r="V56" s="43">
        <v>236</v>
      </c>
      <c r="W56" s="43"/>
      <c r="X56" s="43">
        <v>292</v>
      </c>
      <c r="Y56" s="65"/>
      <c r="Z56" s="43">
        <v>250</v>
      </c>
      <c r="AA56" s="65"/>
      <c r="AB56" s="43">
        <v>157.69</v>
      </c>
      <c r="AC56" s="43"/>
      <c r="AD56" s="156">
        <f>20*12</f>
        <v>240</v>
      </c>
      <c r="AE56" s="3" t="s">
        <v>210</v>
      </c>
    </row>
    <row r="57" spans="1:31" s="5" customFormat="1" x14ac:dyDescent="0.2">
      <c r="A57" s="29"/>
      <c r="B57" s="29"/>
      <c r="C57" s="30" t="s">
        <v>136</v>
      </c>
      <c r="D57" s="30"/>
      <c r="E57" s="30"/>
      <c r="F57" s="30"/>
      <c r="G57" s="60">
        <v>0</v>
      </c>
      <c r="H57" s="42"/>
      <c r="I57" s="60">
        <v>4939</v>
      </c>
      <c r="J57" s="42"/>
      <c r="K57" s="58">
        <v>3500</v>
      </c>
      <c r="L57" s="42"/>
      <c r="M57" s="58">
        <v>2500</v>
      </c>
      <c r="N57" s="44">
        <v>0</v>
      </c>
      <c r="O57" s="54"/>
      <c r="P57" s="61">
        <v>700</v>
      </c>
      <c r="Q57" s="54"/>
      <c r="R57" s="61">
        <v>1000</v>
      </c>
      <c r="S57" s="54"/>
      <c r="T57" s="61">
        <v>3000</v>
      </c>
      <c r="U57" s="78"/>
      <c r="V57" s="61">
        <v>2000</v>
      </c>
      <c r="W57" s="78"/>
      <c r="X57" s="59">
        <v>4000</v>
      </c>
      <c r="Y57" s="79"/>
      <c r="Z57" s="59">
        <v>3000</v>
      </c>
      <c r="AA57" s="79"/>
      <c r="AB57" s="59">
        <v>1000</v>
      </c>
      <c r="AC57" s="61"/>
      <c r="AD57" s="158">
        <v>3000</v>
      </c>
    </row>
    <row r="58" spans="1:31" s="1" customFormat="1" x14ac:dyDescent="0.2">
      <c r="A58" s="146" t="s">
        <v>151</v>
      </c>
      <c r="B58" s="146" t="s">
        <v>37</v>
      </c>
      <c r="C58" s="147"/>
      <c r="D58" s="147"/>
      <c r="E58" s="147"/>
      <c r="F58" s="147"/>
      <c r="G58" s="84">
        <f>ROUND(G9+G26+G32+G39+G47+G55+SUM(G56:G57),5)</f>
        <v>1728281.68</v>
      </c>
      <c r="H58" s="48"/>
      <c r="I58" s="84">
        <f>ROUND(I9+I26+I32+I39+I47+I55+SUM(I56:I57),5)</f>
        <v>1890569.19</v>
      </c>
      <c r="J58" s="48"/>
      <c r="K58" s="84">
        <f>ROUND(K9+K26+K32+K39+K47+K55+SUM(K56:K57),5)</f>
        <v>1789251</v>
      </c>
      <c r="L58" s="48"/>
      <c r="M58" s="84">
        <f>ROUND(M21+M26+M32+M39+M47+M55+SUM(M56:M57),5)</f>
        <v>831911.19</v>
      </c>
      <c r="N58" s="46">
        <f>ROUND(N9+N26+N32+N39+N47+SUM(N55:N57),5)</f>
        <v>1500</v>
      </c>
      <c r="O58" s="65"/>
      <c r="P58" s="84">
        <f>ROUND(P9+P26+P32+P39+P47+P55+SUM(P56:P57),5)</f>
        <v>799407.18</v>
      </c>
      <c r="Q58" s="84"/>
      <c r="R58" s="84"/>
      <c r="S58" s="84"/>
      <c r="T58" s="84">
        <f>ROUND(T9+T26+T32+T39+T47+T55+SUM(T56:T57),5)</f>
        <v>1951120</v>
      </c>
      <c r="U58" s="84"/>
      <c r="V58" s="84">
        <f>ROUND(V21+V26+V32+V39+V47+V55+SUM(V56:V57),5)</f>
        <v>494461</v>
      </c>
      <c r="W58" s="84"/>
      <c r="X58" s="84">
        <f>ROUND(X21+X26+X32+X39+X47+X55+SUM(X56:X57),5)</f>
        <v>1185020.2</v>
      </c>
      <c r="Y58" s="84"/>
      <c r="Z58" s="84">
        <f>ROUND(Z21+Z26+Z32+Z39+Z47+Z55+SUM(Z56:Z57),5)</f>
        <v>1134910</v>
      </c>
      <c r="AA58" s="84"/>
      <c r="AB58" s="84">
        <f>ROUND(AB21+AB26+AB32+AB39+AB47+AB55+SUM(AB56:AB57),5)</f>
        <v>682277.47</v>
      </c>
      <c r="AC58" s="84"/>
      <c r="AD58" s="162">
        <f>ROUND(AD21+AD26+AD32+AD39+AD47+AD55+SUM(AD56:AD57),5)</f>
        <v>1056025</v>
      </c>
    </row>
    <row r="59" spans="1:31" s="1" customFormat="1" hidden="1" x14ac:dyDescent="0.2">
      <c r="A59" s="146"/>
      <c r="B59" s="146"/>
      <c r="C59" s="147"/>
      <c r="D59" s="147"/>
      <c r="E59" s="147"/>
      <c r="F59" s="147"/>
      <c r="G59" s="84"/>
      <c r="H59" s="48"/>
      <c r="I59" s="84"/>
      <c r="J59" s="48"/>
      <c r="K59" s="48"/>
      <c r="L59" s="48"/>
      <c r="M59" s="84"/>
      <c r="N59" s="46"/>
      <c r="O59" s="65"/>
      <c r="P59" s="65"/>
      <c r="Q59" s="65"/>
      <c r="R59" s="65"/>
      <c r="S59" s="65"/>
      <c r="T59" s="65"/>
      <c r="U59" s="65"/>
      <c r="V59" s="65"/>
      <c r="W59" s="65"/>
      <c r="X59" s="65"/>
      <c r="Y59" s="65"/>
      <c r="Z59" s="65"/>
      <c r="AA59" s="65"/>
      <c r="AB59" s="65"/>
      <c r="AC59" s="65"/>
      <c r="AD59" s="156"/>
    </row>
    <row r="60" spans="1:31" s="1" customFormat="1" ht="15" customHeight="1" x14ac:dyDescent="0.2">
      <c r="A60" s="146" t="s">
        <v>38</v>
      </c>
      <c r="B60" s="146"/>
      <c r="C60" s="147"/>
      <c r="D60" s="147"/>
      <c r="E60" s="147"/>
      <c r="F60" s="147"/>
      <c r="G60" s="84">
        <f>G58</f>
        <v>1728281.68</v>
      </c>
      <c r="H60" s="48"/>
      <c r="I60" s="84">
        <f>I58</f>
        <v>1890569.19</v>
      </c>
      <c r="J60" s="48"/>
      <c r="K60" s="84">
        <f>K58</f>
        <v>1789251</v>
      </c>
      <c r="L60" s="48"/>
      <c r="M60" s="84">
        <f>M58</f>
        <v>831911.19</v>
      </c>
      <c r="N60" s="44">
        <f>N58</f>
        <v>1500</v>
      </c>
      <c r="O60" s="65"/>
      <c r="P60" s="84">
        <f>P58</f>
        <v>799407.18</v>
      </c>
      <c r="Q60" s="65"/>
      <c r="R60" s="65"/>
      <c r="S60" s="65"/>
      <c r="T60" s="84">
        <f>T58</f>
        <v>1951120</v>
      </c>
      <c r="U60" s="84"/>
      <c r="V60" s="84">
        <f>V58</f>
        <v>494461</v>
      </c>
      <c r="W60" s="84"/>
      <c r="X60" s="84">
        <f>X58</f>
        <v>1185020.2</v>
      </c>
      <c r="Y60" s="84"/>
      <c r="Z60" s="84">
        <f>Z58</f>
        <v>1134910</v>
      </c>
      <c r="AA60" s="84"/>
      <c r="AB60" s="84">
        <f>AB58</f>
        <v>682277.47</v>
      </c>
      <c r="AC60" s="84"/>
      <c r="AD60" s="162">
        <f>AD58</f>
        <v>1056025</v>
      </c>
      <c r="AE60" s="65"/>
    </row>
    <row r="61" spans="1:31" ht="24" customHeight="1" x14ac:dyDescent="0.2">
      <c r="A61" s="7"/>
      <c r="B61" s="7" t="s">
        <v>39</v>
      </c>
      <c r="C61" s="8"/>
      <c r="D61" s="8"/>
      <c r="E61" s="8"/>
      <c r="F61" s="8"/>
      <c r="G61" s="40"/>
      <c r="H61" s="41"/>
      <c r="I61" s="41"/>
      <c r="J61" s="41"/>
      <c r="K61" s="41"/>
      <c r="L61" s="41"/>
      <c r="M61" s="42"/>
      <c r="N61" s="42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65"/>
      <c r="Z61" s="43"/>
      <c r="AA61" s="65"/>
      <c r="AB61" s="43"/>
      <c r="AC61" s="43"/>
      <c r="AD61" s="156"/>
    </row>
    <row r="62" spans="1:31" ht="20.100000000000001" customHeight="1" x14ac:dyDescent="0.2">
      <c r="A62" s="7"/>
      <c r="B62" s="7"/>
      <c r="C62" s="8" t="s">
        <v>46</v>
      </c>
      <c r="D62" s="8"/>
      <c r="E62" s="8"/>
      <c r="F62" s="8"/>
      <c r="G62" s="40"/>
      <c r="H62" s="41"/>
      <c r="I62" s="41"/>
      <c r="J62" s="41"/>
      <c r="K62" s="41"/>
      <c r="L62" s="41"/>
      <c r="M62" s="42"/>
      <c r="N62" s="42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65"/>
      <c r="AA62" s="65"/>
      <c r="AB62" s="43"/>
      <c r="AC62" s="43"/>
      <c r="AD62" s="156"/>
    </row>
    <row r="63" spans="1:31" s="34" customFormat="1" ht="15" hidden="1" customHeight="1" x14ac:dyDescent="0.2">
      <c r="A63" s="7"/>
      <c r="B63" s="7"/>
      <c r="C63" s="8"/>
      <c r="D63" s="8" t="s">
        <v>176</v>
      </c>
      <c r="E63" s="8"/>
      <c r="F63" s="8"/>
      <c r="G63" s="40">
        <v>0</v>
      </c>
      <c r="H63" s="41"/>
      <c r="I63" s="41">
        <v>0</v>
      </c>
      <c r="J63" s="41"/>
      <c r="K63" s="41">
        <v>46700</v>
      </c>
      <c r="L63" s="41"/>
      <c r="M63" s="42">
        <v>25200</v>
      </c>
      <c r="N63" s="42"/>
      <c r="O63" s="43"/>
      <c r="P63" s="43">
        <v>25200</v>
      </c>
      <c r="Q63" s="43"/>
      <c r="R63" s="43">
        <v>0</v>
      </c>
      <c r="S63" s="43"/>
      <c r="T63" s="43">
        <v>0</v>
      </c>
      <c r="U63" s="43"/>
      <c r="V63" s="43">
        <v>0</v>
      </c>
      <c r="W63" s="43"/>
      <c r="X63" s="43"/>
      <c r="Y63" s="65"/>
      <c r="Z63" s="43"/>
      <c r="AA63" s="65"/>
      <c r="AB63" s="43"/>
      <c r="AC63" s="43"/>
      <c r="AD63" s="156"/>
    </row>
    <row r="64" spans="1:31" x14ac:dyDescent="0.2">
      <c r="A64" s="7"/>
      <c r="B64" s="7"/>
      <c r="C64" s="8"/>
      <c r="D64" s="8" t="s">
        <v>47</v>
      </c>
      <c r="E64" s="8"/>
      <c r="F64" s="8"/>
      <c r="G64" s="40">
        <v>26000</v>
      </c>
      <c r="H64" s="41"/>
      <c r="I64" s="45">
        <v>26000</v>
      </c>
      <c r="J64" s="41"/>
      <c r="K64" s="41">
        <v>32000</v>
      </c>
      <c r="L64" s="41"/>
      <c r="M64" s="42">
        <v>18791.28</v>
      </c>
      <c r="N64" s="44">
        <v>0</v>
      </c>
      <c r="O64" s="43"/>
      <c r="P64" s="43">
        <v>8291.2800000000007</v>
      </c>
      <c r="Q64" s="43"/>
      <c r="R64" s="43">
        <v>9000</v>
      </c>
      <c r="S64" s="43"/>
      <c r="T64" s="43">
        <v>15000</v>
      </c>
      <c r="U64" s="65"/>
      <c r="V64" s="43">
        <v>5500</v>
      </c>
      <c r="W64" s="65"/>
      <c r="X64" s="43">
        <v>0</v>
      </c>
      <c r="Y64" s="65"/>
      <c r="Z64" s="121">
        <v>10000</v>
      </c>
      <c r="AA64" s="65"/>
      <c r="AB64" s="43">
        <v>0</v>
      </c>
      <c r="AC64" s="43"/>
      <c r="AD64" s="156">
        <v>10000</v>
      </c>
    </row>
    <row r="65" spans="1:33" x14ac:dyDescent="0.2">
      <c r="A65" s="7"/>
      <c r="B65" s="7"/>
      <c r="C65" s="8"/>
      <c r="D65" s="8" t="s">
        <v>248</v>
      </c>
      <c r="E65" s="8"/>
      <c r="F65" s="8"/>
      <c r="G65" s="40">
        <v>7798.8</v>
      </c>
      <c r="H65" s="41"/>
      <c r="I65" s="40">
        <v>11600</v>
      </c>
      <c r="J65" s="41"/>
      <c r="K65" s="41">
        <v>10000</v>
      </c>
      <c r="L65" s="41"/>
      <c r="M65" s="42">
        <v>9300</v>
      </c>
      <c r="N65" s="42">
        <v>0</v>
      </c>
      <c r="O65" s="43"/>
      <c r="P65" s="43">
        <v>7500</v>
      </c>
      <c r="Q65" s="43"/>
      <c r="R65" s="43">
        <v>1400</v>
      </c>
      <c r="S65" s="43"/>
      <c r="T65" s="43">
        <v>7500</v>
      </c>
      <c r="U65" s="43"/>
      <c r="V65" s="43">
        <v>12900</v>
      </c>
      <c r="W65" s="43"/>
      <c r="X65" s="43">
        <v>12000</v>
      </c>
      <c r="Y65" s="65"/>
      <c r="Z65" s="121">
        <v>10000</v>
      </c>
      <c r="AA65" s="65"/>
      <c r="AB65" s="43">
        <v>3000</v>
      </c>
      <c r="AC65" s="43"/>
      <c r="AD65" s="156">
        <v>10500</v>
      </c>
    </row>
    <row r="66" spans="1:33" x14ac:dyDescent="0.2">
      <c r="A66" s="7"/>
      <c r="B66" s="7"/>
      <c r="C66" s="8"/>
      <c r="D66" s="8" t="s">
        <v>48</v>
      </c>
      <c r="E66" s="8"/>
      <c r="F66" s="8"/>
      <c r="G66" s="40">
        <v>51160.5</v>
      </c>
      <c r="H66" s="41"/>
      <c r="I66" s="45">
        <v>19947.61</v>
      </c>
      <c r="J66" s="41"/>
      <c r="K66" s="41">
        <v>68750</v>
      </c>
      <c r="L66" s="41"/>
      <c r="M66" s="42">
        <v>18550</v>
      </c>
      <c r="N66" s="44">
        <v>0</v>
      </c>
      <c r="O66" s="43"/>
      <c r="P66" s="43">
        <v>12600</v>
      </c>
      <c r="Q66" s="43"/>
      <c r="R66" s="43">
        <v>4090.64</v>
      </c>
      <c r="S66" s="43"/>
      <c r="T66" s="43">
        <v>26500</v>
      </c>
      <c r="U66" s="43"/>
      <c r="V66" s="43">
        <v>11025</v>
      </c>
      <c r="W66" s="43"/>
      <c r="X66" s="43">
        <v>29400</v>
      </c>
      <c r="Y66" s="65"/>
      <c r="Z66" s="121">
        <v>31750</v>
      </c>
      <c r="AA66" s="65"/>
      <c r="AB66" s="43">
        <v>5760</v>
      </c>
      <c r="AC66" s="43"/>
      <c r="AD66" s="156">
        <v>29750</v>
      </c>
    </row>
    <row r="67" spans="1:33" x14ac:dyDescent="0.2">
      <c r="A67" s="7"/>
      <c r="B67" s="7"/>
      <c r="C67" s="8"/>
      <c r="D67" s="8" t="s">
        <v>49</v>
      </c>
      <c r="E67" s="8"/>
      <c r="F67" s="8"/>
      <c r="G67" s="45">
        <v>34863.620000000003</v>
      </c>
      <c r="H67" s="41"/>
      <c r="I67" s="45">
        <v>48520.59</v>
      </c>
      <c r="J67" s="41"/>
      <c r="K67" s="41">
        <v>60750</v>
      </c>
      <c r="L67" s="41"/>
      <c r="M67" s="42">
        <v>90437</v>
      </c>
      <c r="N67" s="44">
        <v>0</v>
      </c>
      <c r="O67" s="43"/>
      <c r="P67" s="43">
        <v>23860</v>
      </c>
      <c r="Q67" s="43"/>
      <c r="R67" s="43">
        <v>27820.59</v>
      </c>
      <c r="S67" s="43"/>
      <c r="T67" s="43">
        <v>68000</v>
      </c>
      <c r="U67" s="43"/>
      <c r="V67" s="43">
        <v>30400</v>
      </c>
      <c r="W67" s="43"/>
      <c r="X67" s="43">
        <v>79500</v>
      </c>
      <c r="Y67" s="65"/>
      <c r="Z67" s="121">
        <v>80000</v>
      </c>
      <c r="AA67" s="65"/>
      <c r="AB67" s="43">
        <v>55280</v>
      </c>
      <c r="AC67" s="43"/>
      <c r="AD67" s="156">
        <v>72000</v>
      </c>
    </row>
    <row r="68" spans="1:33" x14ac:dyDescent="0.2">
      <c r="A68" s="7"/>
      <c r="B68" s="7"/>
      <c r="C68" s="8"/>
      <c r="D68" s="8" t="s">
        <v>50</v>
      </c>
      <c r="E68" s="8"/>
      <c r="F68" s="8"/>
      <c r="G68" s="40">
        <v>2100</v>
      </c>
      <c r="H68" s="41"/>
      <c r="I68" s="40">
        <v>750</v>
      </c>
      <c r="J68" s="41"/>
      <c r="K68" s="41">
        <v>5100</v>
      </c>
      <c r="L68" s="41"/>
      <c r="M68" s="42">
        <v>0</v>
      </c>
      <c r="N68" s="42">
        <v>0</v>
      </c>
      <c r="O68" s="43"/>
      <c r="P68" s="43">
        <v>0</v>
      </c>
      <c r="Q68" s="43"/>
      <c r="R68" s="43">
        <v>0</v>
      </c>
      <c r="S68" s="43"/>
      <c r="T68" s="43">
        <v>3000</v>
      </c>
      <c r="U68" s="43"/>
      <c r="V68" s="43">
        <v>475</v>
      </c>
      <c r="W68" s="43"/>
      <c r="X68" s="43">
        <v>1320</v>
      </c>
      <c r="Y68" s="65"/>
      <c r="Z68" s="121">
        <v>1800</v>
      </c>
      <c r="AA68" s="65"/>
      <c r="AB68" s="43">
        <v>0</v>
      </c>
      <c r="AC68" s="43"/>
      <c r="AD68" s="156">
        <v>1800</v>
      </c>
    </row>
    <row r="69" spans="1:33" x14ac:dyDescent="0.2">
      <c r="A69" s="7"/>
      <c r="B69" s="7"/>
      <c r="C69" s="8"/>
      <c r="D69" s="8" t="s">
        <v>51</v>
      </c>
      <c r="E69" s="8"/>
      <c r="F69" s="8"/>
      <c r="G69" s="40">
        <v>5689.4</v>
      </c>
      <c r="H69" s="41"/>
      <c r="I69" s="40">
        <v>13814.31</v>
      </c>
      <c r="J69" s="41"/>
      <c r="K69" s="41">
        <v>15000</v>
      </c>
      <c r="L69" s="41"/>
      <c r="M69" s="42">
        <v>14650</v>
      </c>
      <c r="N69" s="42">
        <v>0</v>
      </c>
      <c r="O69" s="43"/>
      <c r="P69" s="43">
        <v>7400</v>
      </c>
      <c r="Q69" s="43"/>
      <c r="R69" s="43">
        <v>3042.3</v>
      </c>
      <c r="S69" s="43"/>
      <c r="T69" s="43">
        <v>10000</v>
      </c>
      <c r="U69" s="43"/>
      <c r="V69" s="43">
        <v>5100</v>
      </c>
      <c r="W69" s="43"/>
      <c r="X69" s="43">
        <v>12700</v>
      </c>
      <c r="Y69" s="65"/>
      <c r="Z69" s="121">
        <v>15000</v>
      </c>
      <c r="AA69" s="65"/>
      <c r="AB69" s="43">
        <v>5820</v>
      </c>
      <c r="AC69" s="43"/>
      <c r="AD69" s="164">
        <v>30000</v>
      </c>
      <c r="AE69" s="3" t="s">
        <v>251</v>
      </c>
    </row>
    <row r="70" spans="1:33" x14ac:dyDescent="0.2">
      <c r="A70" s="7"/>
      <c r="B70" s="7"/>
      <c r="C70" s="8"/>
      <c r="D70" s="8" t="s">
        <v>140</v>
      </c>
      <c r="E70" s="8"/>
      <c r="F70" s="8"/>
      <c r="G70" s="40">
        <v>0</v>
      </c>
      <c r="H70" s="41"/>
      <c r="I70" s="40">
        <v>4329.84</v>
      </c>
      <c r="J70" s="41"/>
      <c r="K70" s="41">
        <v>12500</v>
      </c>
      <c r="L70" s="41"/>
      <c r="M70" s="42">
        <v>8367.17</v>
      </c>
      <c r="N70" s="42">
        <v>0</v>
      </c>
      <c r="O70" s="43"/>
      <c r="P70" s="43">
        <v>1372.56</v>
      </c>
      <c r="Q70" s="43"/>
      <c r="R70" s="43">
        <v>4329.84</v>
      </c>
      <c r="S70" s="43"/>
      <c r="T70" s="43">
        <v>12500</v>
      </c>
      <c r="U70" s="43"/>
      <c r="V70" s="43">
        <v>4059.02</v>
      </c>
      <c r="W70" s="43"/>
      <c r="X70" s="43">
        <v>5484</v>
      </c>
      <c r="Y70" s="65"/>
      <c r="Z70" s="137">
        <v>15000</v>
      </c>
      <c r="AA70" s="65"/>
      <c r="AB70" s="43">
        <v>13350</v>
      </c>
      <c r="AC70" s="43"/>
      <c r="AD70" s="164">
        <v>25000</v>
      </c>
    </row>
    <row r="71" spans="1:33" s="38" customFormat="1" x14ac:dyDescent="0.2">
      <c r="A71" s="7"/>
      <c r="B71" s="7"/>
      <c r="C71" s="8"/>
      <c r="D71" s="8" t="s">
        <v>161</v>
      </c>
      <c r="E71" s="8"/>
      <c r="F71" s="8"/>
      <c r="G71" s="40">
        <v>0</v>
      </c>
      <c r="H71" s="41"/>
      <c r="I71" s="40">
        <v>0</v>
      </c>
      <c r="J71" s="41"/>
      <c r="K71" s="41">
        <v>0</v>
      </c>
      <c r="L71" s="41"/>
      <c r="M71" s="42">
        <v>0</v>
      </c>
      <c r="N71" s="42"/>
      <c r="O71" s="43"/>
      <c r="P71" s="43">
        <v>0</v>
      </c>
      <c r="Q71" s="43"/>
      <c r="R71" s="43">
        <v>0</v>
      </c>
      <c r="S71" s="43"/>
      <c r="T71" s="43">
        <v>2500</v>
      </c>
      <c r="U71" s="43"/>
      <c r="V71" s="43">
        <v>0</v>
      </c>
      <c r="W71" s="43"/>
      <c r="X71" s="43">
        <v>0</v>
      </c>
      <c r="Y71" s="65"/>
      <c r="Z71" s="137">
        <v>1000</v>
      </c>
      <c r="AA71" s="65"/>
      <c r="AB71" s="43">
        <v>0</v>
      </c>
      <c r="AC71" s="43"/>
      <c r="AD71" s="156">
        <v>4000</v>
      </c>
    </row>
    <row r="72" spans="1:33" s="38" customFormat="1" hidden="1" x14ac:dyDescent="0.2">
      <c r="A72" s="7"/>
      <c r="B72" s="7"/>
      <c r="C72" s="8"/>
      <c r="D72" s="8" t="s">
        <v>181</v>
      </c>
      <c r="E72" s="8"/>
      <c r="F72" s="8"/>
      <c r="G72" s="57">
        <v>0</v>
      </c>
      <c r="H72" s="41"/>
      <c r="I72" s="40">
        <v>0</v>
      </c>
      <c r="J72" s="41"/>
      <c r="K72" s="72">
        <v>0</v>
      </c>
      <c r="L72" s="41"/>
      <c r="M72" s="42">
        <v>0</v>
      </c>
      <c r="N72" s="42"/>
      <c r="O72" s="43"/>
      <c r="P72" s="76">
        <v>0</v>
      </c>
      <c r="Q72" s="43"/>
      <c r="R72" s="76">
        <v>0</v>
      </c>
      <c r="S72" s="43"/>
      <c r="T72" s="76">
        <v>15000</v>
      </c>
      <c r="U72" s="79"/>
      <c r="V72" s="76">
        <v>13284.4</v>
      </c>
      <c r="W72" s="79"/>
      <c r="X72" s="78">
        <v>21193</v>
      </c>
      <c r="Y72" s="77"/>
      <c r="Z72" s="137">
        <v>0</v>
      </c>
      <c r="AA72" s="77"/>
      <c r="AB72" s="78">
        <v>0</v>
      </c>
      <c r="AC72" s="76"/>
      <c r="AD72" s="168">
        <v>0</v>
      </c>
      <c r="AE72" s="38" t="s">
        <v>207</v>
      </c>
    </row>
    <row r="73" spans="1:33" s="75" customFormat="1" x14ac:dyDescent="0.2">
      <c r="A73" s="7"/>
      <c r="B73" s="7"/>
      <c r="C73" s="8"/>
      <c r="D73" s="8" t="s">
        <v>196</v>
      </c>
      <c r="E73" s="8"/>
      <c r="F73" s="8"/>
      <c r="G73" s="40"/>
      <c r="H73" s="41"/>
      <c r="I73" s="57"/>
      <c r="J73" s="41"/>
      <c r="K73" s="41"/>
      <c r="L73" s="41"/>
      <c r="M73" s="42"/>
      <c r="N73" s="42"/>
      <c r="O73" s="76"/>
      <c r="P73" s="76"/>
      <c r="Q73" s="76"/>
      <c r="R73" s="76"/>
      <c r="S73" s="76"/>
      <c r="T73" s="76"/>
      <c r="U73" s="79"/>
      <c r="V73" s="76">
        <v>17500</v>
      </c>
      <c r="W73" s="79"/>
      <c r="X73" s="78">
        <v>18800</v>
      </c>
      <c r="Y73" s="77"/>
      <c r="Z73" s="47">
        <v>22000</v>
      </c>
      <c r="AA73" s="77"/>
      <c r="AB73" s="78">
        <v>15400</v>
      </c>
      <c r="AC73" s="76"/>
      <c r="AD73" s="168">
        <v>25000</v>
      </c>
    </row>
    <row r="74" spans="1:33" s="130" customFormat="1" x14ac:dyDescent="0.2">
      <c r="A74" s="7"/>
      <c r="B74" s="7"/>
      <c r="C74" s="8"/>
      <c r="D74" s="8" t="s">
        <v>219</v>
      </c>
      <c r="E74" s="8"/>
      <c r="F74" s="8"/>
      <c r="G74" s="40"/>
      <c r="H74" s="41"/>
      <c r="I74" s="40"/>
      <c r="J74" s="41"/>
      <c r="K74" s="41"/>
      <c r="L74" s="41"/>
      <c r="M74" s="58"/>
      <c r="N74" s="42"/>
      <c r="O74" s="76"/>
      <c r="P74" s="76"/>
      <c r="Q74" s="76"/>
      <c r="R74" s="76"/>
      <c r="S74" s="76"/>
      <c r="T74" s="76"/>
      <c r="U74" s="79"/>
      <c r="V74" s="59"/>
      <c r="W74" s="79"/>
      <c r="X74" s="61">
        <v>40800</v>
      </c>
      <c r="Y74" s="77"/>
      <c r="Z74" s="155">
        <v>0</v>
      </c>
      <c r="AA74" s="77"/>
      <c r="AB74" s="61"/>
      <c r="AC74" s="76"/>
      <c r="AD74" s="169">
        <v>45000</v>
      </c>
    </row>
    <row r="75" spans="1:33" s="1" customFormat="1" x14ac:dyDescent="0.2">
      <c r="A75" s="146"/>
      <c r="B75" s="146"/>
      <c r="C75" s="147" t="s">
        <v>52</v>
      </c>
      <c r="D75" s="147"/>
      <c r="E75" s="147"/>
      <c r="F75" s="147"/>
      <c r="G75" s="84">
        <f>ROUND(SUM(G63:G72),5)</f>
        <v>127612.32</v>
      </c>
      <c r="H75" s="48"/>
      <c r="I75" s="84">
        <f>ROUND(SUM(I63:I72),5)</f>
        <v>124962.35</v>
      </c>
      <c r="J75" s="48"/>
      <c r="K75" s="84">
        <f>ROUND(SUM(K63:K72),5)</f>
        <v>250800</v>
      </c>
      <c r="L75" s="48"/>
      <c r="M75" s="84">
        <f>ROUND(SUM(M63:M74),5)</f>
        <v>185295.45</v>
      </c>
      <c r="N75" s="46">
        <f>ROUND(SUM(N64:N70),5)</f>
        <v>0</v>
      </c>
      <c r="O75" s="65"/>
      <c r="P75" s="84">
        <f>ROUND(SUM(P63:P72),5)</f>
        <v>86223.84</v>
      </c>
      <c r="Q75" s="65"/>
      <c r="R75" s="84">
        <f>ROUND(SUM(R63:R72),5)</f>
        <v>49683.37</v>
      </c>
      <c r="S75" s="65"/>
      <c r="T75" s="84">
        <f>ROUND(SUM(T63:T72),5)</f>
        <v>160000</v>
      </c>
      <c r="U75" s="84">
        <v>0</v>
      </c>
      <c r="V75" s="84">
        <f>ROUND(SUM(V63:V74),5)</f>
        <v>100243.42</v>
      </c>
      <c r="W75" s="84"/>
      <c r="X75" s="46">
        <f>ROUND(SUM(X63:X74),5)</f>
        <v>221197</v>
      </c>
      <c r="Y75" s="46"/>
      <c r="Z75" s="46">
        <f>ROUND(SUM(Z63:Z74),5)</f>
        <v>186550</v>
      </c>
      <c r="AA75" s="46"/>
      <c r="AB75" s="46">
        <f>ROUND(SUM(AB63:AB74),5)</f>
        <v>98610</v>
      </c>
      <c r="AC75" s="84"/>
      <c r="AD75" s="166">
        <f>ROUND(SUM(AD63:AD74),5)</f>
        <v>253050</v>
      </c>
      <c r="AE75" s="65"/>
      <c r="AG75" s="65"/>
    </row>
    <row r="76" spans="1:33" ht="20.100000000000001" customHeight="1" x14ac:dyDescent="0.2">
      <c r="A76" s="55"/>
      <c r="B76" s="55"/>
      <c r="C76" s="56" t="s">
        <v>53</v>
      </c>
      <c r="D76" s="56"/>
      <c r="E76" s="56"/>
      <c r="F76" s="56"/>
      <c r="G76" s="40"/>
      <c r="H76" s="41"/>
      <c r="I76" s="41"/>
      <c r="J76" s="41"/>
      <c r="K76" s="41"/>
      <c r="L76" s="41"/>
      <c r="M76" s="42"/>
      <c r="N76" s="42"/>
      <c r="O76" s="43"/>
      <c r="P76" s="43"/>
      <c r="Q76" s="43"/>
      <c r="R76" s="43"/>
      <c r="S76" s="43"/>
      <c r="T76" s="43"/>
      <c r="U76" s="43"/>
      <c r="V76" s="43"/>
      <c r="W76" s="43"/>
      <c r="X76" s="54"/>
      <c r="Y76" s="68"/>
      <c r="AA76" s="68"/>
      <c r="AB76" s="54"/>
      <c r="AC76" s="43"/>
      <c r="AD76" s="164"/>
    </row>
    <row r="77" spans="1:33" ht="12" x14ac:dyDescent="0.2">
      <c r="A77" s="55"/>
      <c r="B77" s="55"/>
      <c r="C77" s="56"/>
      <c r="D77" s="56" t="s">
        <v>54</v>
      </c>
      <c r="E77" s="56"/>
      <c r="F77" s="56"/>
      <c r="G77" s="40">
        <v>1830.42</v>
      </c>
      <c r="H77" s="41"/>
      <c r="I77" s="40">
        <v>43220.77</v>
      </c>
      <c r="J77" s="41"/>
      <c r="K77" s="41">
        <v>19000</v>
      </c>
      <c r="L77" s="41"/>
      <c r="M77" s="42">
        <v>9069.23</v>
      </c>
      <c r="N77" s="42">
        <v>0</v>
      </c>
      <c r="O77" s="43"/>
      <c r="P77" s="43">
        <v>9069.23</v>
      </c>
      <c r="Q77" s="43"/>
      <c r="R77" s="43">
        <v>0</v>
      </c>
      <c r="S77" s="43"/>
      <c r="T77" s="54">
        <v>24773</v>
      </c>
      <c r="U77" s="54"/>
      <c r="V77" s="54">
        <v>23766</v>
      </c>
      <c r="W77" s="54"/>
      <c r="X77" s="54">
        <v>12664.24</v>
      </c>
      <c r="Y77" s="68"/>
      <c r="Z77" s="121">
        <v>20225</v>
      </c>
      <c r="AA77" s="68"/>
      <c r="AB77" s="54">
        <v>20129.09</v>
      </c>
      <c r="AC77" s="54"/>
      <c r="AD77" s="164">
        <v>7590</v>
      </c>
      <c r="AE77" s="81" t="s">
        <v>224</v>
      </c>
    </row>
    <row r="78" spans="1:33" x14ac:dyDescent="0.2">
      <c r="A78" s="55"/>
      <c r="B78" s="55"/>
      <c r="C78" s="56"/>
      <c r="D78" s="56" t="s">
        <v>55</v>
      </c>
      <c r="E78" s="56"/>
      <c r="F78" s="56"/>
      <c r="G78" s="40">
        <v>74441.570000000007</v>
      </c>
      <c r="H78" s="41"/>
      <c r="I78" s="45">
        <v>156812.88</v>
      </c>
      <c r="J78" s="41"/>
      <c r="K78" s="41">
        <v>56680</v>
      </c>
      <c r="L78" s="41"/>
      <c r="M78" s="42">
        <v>43524.08</v>
      </c>
      <c r="N78" s="44">
        <v>0</v>
      </c>
      <c r="O78" s="43"/>
      <c r="P78" s="43">
        <v>43878.39</v>
      </c>
      <c r="Q78" s="43"/>
      <c r="R78" s="43">
        <v>0</v>
      </c>
      <c r="S78" s="43"/>
      <c r="T78" s="54">
        <v>75078</v>
      </c>
      <c r="U78" s="68"/>
      <c r="V78" s="54">
        <v>69719</v>
      </c>
      <c r="W78" s="68"/>
      <c r="X78" s="121">
        <v>137207.45000000001</v>
      </c>
      <c r="Y78" s="104"/>
      <c r="Z78" s="121">
        <v>83900</v>
      </c>
      <c r="AA78" s="104"/>
      <c r="AB78" s="99">
        <v>0</v>
      </c>
      <c r="AC78" s="54"/>
      <c r="AD78" s="165">
        <v>72220</v>
      </c>
      <c r="AE78" s="82" t="s">
        <v>225</v>
      </c>
    </row>
    <row r="79" spans="1:33" x14ac:dyDescent="0.2">
      <c r="A79" s="55"/>
      <c r="B79" s="55"/>
      <c r="C79" s="56"/>
      <c r="D79" s="56" t="s">
        <v>56</v>
      </c>
      <c r="E79" s="56"/>
      <c r="F79" s="56"/>
      <c r="G79" s="40">
        <v>93623.37</v>
      </c>
      <c r="H79" s="41"/>
      <c r="I79" s="45">
        <v>59414.53</v>
      </c>
      <c r="J79" s="41"/>
      <c r="K79" s="41">
        <v>63895</v>
      </c>
      <c r="L79" s="41"/>
      <c r="M79" s="42">
        <v>69834.28</v>
      </c>
      <c r="N79" s="44">
        <v>0</v>
      </c>
      <c r="O79" s="43"/>
      <c r="P79" s="43">
        <v>69834.28</v>
      </c>
      <c r="Q79" s="43"/>
      <c r="R79" s="43">
        <v>0</v>
      </c>
      <c r="S79" s="43"/>
      <c r="T79" s="54">
        <f>92856+15000</f>
        <v>107856</v>
      </c>
      <c r="U79" s="68"/>
      <c r="V79" s="54">
        <v>100600</v>
      </c>
      <c r="W79" s="68"/>
      <c r="X79" s="121">
        <v>53651.11</v>
      </c>
      <c r="Y79" s="104"/>
      <c r="Z79" s="138">
        <v>83035</v>
      </c>
      <c r="AA79" s="104"/>
      <c r="AB79" s="99">
        <v>0</v>
      </c>
      <c r="AC79" s="54"/>
      <c r="AD79" s="165">
        <v>0</v>
      </c>
      <c r="AE79" s="83" t="s">
        <v>223</v>
      </c>
    </row>
    <row r="80" spans="1:33" x14ac:dyDescent="0.2">
      <c r="A80" s="55"/>
      <c r="B80" s="55"/>
      <c r="C80" s="56"/>
      <c r="D80" s="56" t="s">
        <v>217</v>
      </c>
      <c r="E80" s="56"/>
      <c r="F80" s="56"/>
      <c r="G80" s="45">
        <v>750</v>
      </c>
      <c r="H80" s="41"/>
      <c r="I80" s="40">
        <v>8000</v>
      </c>
      <c r="J80" s="41"/>
      <c r="K80" s="41">
        <v>8000</v>
      </c>
      <c r="L80" s="41"/>
      <c r="M80" s="42">
        <v>8000</v>
      </c>
      <c r="N80" s="42">
        <v>0</v>
      </c>
      <c r="O80" s="43"/>
      <c r="P80" s="43">
        <v>8000</v>
      </c>
      <c r="Q80" s="43"/>
      <c r="R80" s="43">
        <v>0</v>
      </c>
      <c r="S80" s="43"/>
      <c r="T80" s="43">
        <v>8000</v>
      </c>
      <c r="U80" s="43"/>
      <c r="V80" s="43">
        <v>8000</v>
      </c>
      <c r="W80" s="43"/>
      <c r="X80" s="43">
        <v>5000</v>
      </c>
      <c r="Y80" s="65"/>
      <c r="Z80" s="121">
        <v>14000</v>
      </c>
      <c r="AA80" s="65"/>
      <c r="AB80" s="145">
        <v>0</v>
      </c>
      <c r="AC80" s="43"/>
      <c r="AD80" s="170">
        <f>8000+(6*2000)</f>
        <v>20000</v>
      </c>
      <c r="AE80" s="151" t="s">
        <v>250</v>
      </c>
    </row>
    <row r="81" spans="1:31" x14ac:dyDescent="0.2">
      <c r="A81" s="55"/>
      <c r="B81" s="55"/>
      <c r="C81" s="56"/>
      <c r="D81" s="56" t="s">
        <v>157</v>
      </c>
      <c r="E81" s="3"/>
      <c r="F81" s="56"/>
      <c r="G81" s="40">
        <v>0</v>
      </c>
      <c r="H81" s="41"/>
      <c r="I81" s="40">
        <v>5564.5</v>
      </c>
      <c r="J81" s="41"/>
      <c r="K81" s="41">
        <v>6000</v>
      </c>
      <c r="L81" s="41"/>
      <c r="M81" s="42">
        <v>4200.3100000000004</v>
      </c>
      <c r="N81" s="42">
        <v>0</v>
      </c>
      <c r="O81" s="43"/>
      <c r="P81" s="43">
        <v>4200.3100000000004</v>
      </c>
      <c r="Q81" s="43"/>
      <c r="R81" s="43">
        <v>0</v>
      </c>
      <c r="S81" s="43"/>
      <c r="T81" s="43">
        <v>5000</v>
      </c>
      <c r="U81" s="43"/>
      <c r="V81" s="43">
        <v>3173.83</v>
      </c>
      <c r="W81" s="43"/>
      <c r="X81" s="43">
        <v>5000</v>
      </c>
      <c r="Y81" s="65"/>
      <c r="Z81" s="121">
        <v>5000</v>
      </c>
      <c r="AA81" s="65"/>
      <c r="AB81" s="54">
        <v>0</v>
      </c>
      <c r="AC81" s="43"/>
      <c r="AD81" s="156">
        <v>5000</v>
      </c>
      <c r="AE81" s="5" t="s">
        <v>226</v>
      </c>
    </row>
    <row r="82" spans="1:31" x14ac:dyDescent="0.2">
      <c r="A82" s="55"/>
      <c r="B82" s="55"/>
      <c r="C82" s="56"/>
      <c r="D82" s="56" t="s">
        <v>158</v>
      </c>
      <c r="E82" s="3"/>
      <c r="F82" s="56"/>
      <c r="G82" s="57">
        <v>30178.76</v>
      </c>
      <c r="H82" s="41"/>
      <c r="I82" s="45">
        <v>47927.88</v>
      </c>
      <c r="J82" s="41"/>
      <c r="K82" s="72">
        <v>45500</v>
      </c>
      <c r="L82" s="41"/>
      <c r="M82" s="42"/>
      <c r="N82" s="44">
        <v>0</v>
      </c>
      <c r="O82" s="43"/>
      <c r="P82" s="59">
        <v>38969.11</v>
      </c>
      <c r="Q82" s="43"/>
      <c r="R82" s="43">
        <v>0</v>
      </c>
      <c r="S82" s="43"/>
      <c r="T82" s="59">
        <v>48552</v>
      </c>
      <c r="U82" s="76"/>
      <c r="V82" s="76">
        <v>43787.18</v>
      </c>
      <c r="W82" s="76"/>
      <c r="X82" s="76">
        <v>31179</v>
      </c>
      <c r="Y82" s="79"/>
      <c r="Z82" s="123">
        <v>40556</v>
      </c>
      <c r="AA82" s="79"/>
      <c r="AB82" s="78">
        <v>38280.01</v>
      </c>
      <c r="AC82" s="76"/>
      <c r="AD82" s="157">
        <v>40205</v>
      </c>
      <c r="AE82" s="5"/>
    </row>
    <row r="83" spans="1:31" x14ac:dyDescent="0.2">
      <c r="D83" s="171" t="s">
        <v>197</v>
      </c>
      <c r="E83" s="171"/>
      <c r="I83" s="72">
        <v>0</v>
      </c>
      <c r="J83" s="41"/>
      <c r="K83" s="41"/>
      <c r="L83" s="41"/>
      <c r="M83" s="58">
        <v>0</v>
      </c>
      <c r="N83" s="42"/>
      <c r="O83" s="43"/>
      <c r="P83" s="43"/>
      <c r="Q83" s="43"/>
      <c r="R83" s="43"/>
      <c r="S83" s="43"/>
      <c r="T83" s="43"/>
      <c r="U83" s="43"/>
      <c r="V83" s="59">
        <v>0</v>
      </c>
      <c r="W83" s="43"/>
      <c r="X83" s="59">
        <v>5778.9</v>
      </c>
      <c r="Y83" s="65"/>
      <c r="Z83" s="122">
        <v>5000</v>
      </c>
      <c r="AA83" s="65"/>
      <c r="AB83" s="61">
        <v>-1538.85</v>
      </c>
      <c r="AC83" s="65"/>
      <c r="AD83" s="158">
        <v>5000</v>
      </c>
      <c r="AE83" s="3" t="s">
        <v>240</v>
      </c>
    </row>
    <row r="84" spans="1:31" ht="19.5" customHeight="1" x14ac:dyDescent="0.2">
      <c r="A84" s="55"/>
      <c r="B84" s="55"/>
      <c r="C84" s="56" t="s">
        <v>57</v>
      </c>
      <c r="D84" s="56"/>
      <c r="E84" s="56"/>
      <c r="F84" s="56"/>
      <c r="G84" s="40">
        <f>ROUND(SUM(G77:G82),5)</f>
        <v>200824.12</v>
      </c>
      <c r="H84" s="41"/>
      <c r="I84" s="40">
        <f>ROUND(SUM(I77:I83),5)</f>
        <v>320940.56</v>
      </c>
      <c r="J84" s="41"/>
      <c r="K84" s="40">
        <f>ROUND(SUM(K77:K82),5)</f>
        <v>199075</v>
      </c>
      <c r="L84" s="41"/>
      <c r="M84" s="84">
        <f>ROUND(SUM(M77:M83),5)</f>
        <v>134627.9</v>
      </c>
      <c r="N84" s="45" t="e">
        <f>ROUND(SUM(N77:N80)+#REF!,5)</f>
        <v>#REF!</v>
      </c>
      <c r="O84" s="43"/>
      <c r="P84" s="40">
        <f>ROUND(SUM(P77:P82),5)</f>
        <v>173951.32</v>
      </c>
      <c r="Q84" s="43"/>
      <c r="R84" s="40">
        <v>0</v>
      </c>
      <c r="S84" s="43"/>
      <c r="T84" s="40">
        <f>ROUND(SUM(T77:T82),5)</f>
        <v>269259</v>
      </c>
      <c r="U84" s="40"/>
      <c r="V84" s="84">
        <f>ROUND(SUM(V77:V83),5)</f>
        <v>249046.01</v>
      </c>
      <c r="W84" s="40"/>
      <c r="X84" s="84">
        <f>ROUND(SUM(X77:X83),5)</f>
        <v>250480.7</v>
      </c>
      <c r="Y84" s="46"/>
      <c r="Z84" s="139">
        <f>ROUND(SUM(Z77:Z83),5)</f>
        <v>251716</v>
      </c>
      <c r="AA84" s="46"/>
      <c r="AB84" s="84">
        <f>ROUND(SUM(AB77:AB83),5)</f>
        <v>56870.25</v>
      </c>
      <c r="AC84" s="40"/>
      <c r="AD84" s="162">
        <f>ROUND(SUM(AD77:AD83),5)</f>
        <v>150015</v>
      </c>
      <c r="AE84" s="43"/>
    </row>
    <row r="85" spans="1:31" ht="20.100000000000001" customHeight="1" x14ac:dyDescent="0.2">
      <c r="A85" s="55"/>
      <c r="B85" s="55"/>
      <c r="C85" s="56" t="s">
        <v>58</v>
      </c>
      <c r="D85" s="56"/>
      <c r="E85" s="56"/>
      <c r="F85" s="56"/>
      <c r="G85" s="40"/>
      <c r="H85" s="41"/>
      <c r="I85" s="41"/>
      <c r="J85" s="41"/>
      <c r="K85" s="41"/>
      <c r="L85" s="41"/>
      <c r="M85" s="42"/>
      <c r="N85" s="42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65"/>
      <c r="AA85" s="65"/>
      <c r="AB85" s="43"/>
      <c r="AC85" s="43"/>
      <c r="AD85" s="156"/>
    </row>
    <row r="86" spans="1:31" x14ac:dyDescent="0.2">
      <c r="A86" s="55"/>
      <c r="B86" s="55"/>
      <c r="C86" s="56"/>
      <c r="D86" s="56" t="s">
        <v>59</v>
      </c>
      <c r="E86" s="56"/>
      <c r="F86" s="56"/>
      <c r="G86" s="40">
        <v>6976.24</v>
      </c>
      <c r="H86" s="41"/>
      <c r="I86" s="40">
        <v>24217.83</v>
      </c>
      <c r="J86" s="41"/>
      <c r="K86" s="41">
        <v>0</v>
      </c>
      <c r="L86" s="41"/>
      <c r="M86" s="42">
        <v>0</v>
      </c>
      <c r="N86" s="42">
        <v>0</v>
      </c>
      <c r="O86" s="43"/>
      <c r="P86" s="43">
        <v>0</v>
      </c>
      <c r="Q86" s="43"/>
      <c r="R86" s="43">
        <v>0</v>
      </c>
      <c r="S86" s="43"/>
      <c r="T86" s="43">
        <v>27845</v>
      </c>
      <c r="U86" s="43"/>
      <c r="V86" s="43">
        <v>15307.24</v>
      </c>
      <c r="W86" s="43"/>
      <c r="X86" s="43">
        <v>21756.400000000001</v>
      </c>
      <c r="Y86" s="65"/>
      <c r="AA86" s="65"/>
      <c r="AB86" s="43">
        <v>0</v>
      </c>
      <c r="AC86" s="43"/>
      <c r="AD86" s="156">
        <v>20000</v>
      </c>
      <c r="AE86" s="101" t="s">
        <v>239</v>
      </c>
    </row>
    <row r="87" spans="1:31" x14ac:dyDescent="0.2">
      <c r="A87" s="55"/>
      <c r="B87" s="55"/>
      <c r="C87" s="56"/>
      <c r="D87" s="56" t="s">
        <v>60</v>
      </c>
      <c r="E87" s="56"/>
      <c r="F87" s="56"/>
      <c r="G87" s="40">
        <v>6798.01</v>
      </c>
      <c r="H87" s="41"/>
      <c r="I87" s="40">
        <v>5738.4</v>
      </c>
      <c r="J87" s="41"/>
      <c r="K87" s="41">
        <v>9280</v>
      </c>
      <c r="L87" s="41"/>
      <c r="M87" s="42">
        <v>8948.39</v>
      </c>
      <c r="N87" s="42">
        <v>0</v>
      </c>
      <c r="O87" s="43"/>
      <c r="P87" s="43">
        <v>8638</v>
      </c>
      <c r="Q87" s="43"/>
      <c r="R87" s="43">
        <v>0</v>
      </c>
      <c r="S87" s="43"/>
      <c r="T87" s="43">
        <v>9280</v>
      </c>
      <c r="U87" s="43"/>
      <c r="V87" s="43">
        <v>6277.8</v>
      </c>
      <c r="W87" s="43"/>
      <c r="X87" s="43">
        <v>7339.07</v>
      </c>
      <c r="Y87" s="65"/>
      <c r="Z87" s="43">
        <v>8500</v>
      </c>
      <c r="AA87" s="65"/>
      <c r="AB87" s="54">
        <v>7524.38</v>
      </c>
      <c r="AC87" s="43"/>
      <c r="AD87" s="156">
        <v>8500</v>
      </c>
    </row>
    <row r="88" spans="1:31" x14ac:dyDescent="0.2">
      <c r="A88" s="55"/>
      <c r="B88" s="55"/>
      <c r="C88" s="56"/>
      <c r="D88" s="56" t="s">
        <v>214</v>
      </c>
      <c r="E88" s="56"/>
      <c r="F88" s="56"/>
      <c r="G88" s="40">
        <v>2364.6799999999998</v>
      </c>
      <c r="H88" s="41"/>
      <c r="I88" s="40">
        <v>1970.15</v>
      </c>
      <c r="J88" s="41"/>
      <c r="K88" s="41">
        <v>3450</v>
      </c>
      <c r="L88" s="41"/>
      <c r="M88" s="42">
        <v>2601.0500000000002</v>
      </c>
      <c r="N88" s="42">
        <v>0</v>
      </c>
      <c r="O88" s="43"/>
      <c r="P88" s="43">
        <v>2601</v>
      </c>
      <c r="Q88" s="43"/>
      <c r="R88" s="43">
        <v>0</v>
      </c>
      <c r="S88" s="43"/>
      <c r="T88" s="43">
        <v>3450</v>
      </c>
      <c r="U88" s="43"/>
      <c r="V88" s="43">
        <v>4082.44</v>
      </c>
      <c r="W88" s="43"/>
      <c r="X88" s="43">
        <v>778.16</v>
      </c>
      <c r="Y88" s="65"/>
      <c r="Z88" s="43">
        <v>4000</v>
      </c>
      <c r="AA88" s="65"/>
      <c r="AB88" s="54"/>
      <c r="AC88" s="43"/>
      <c r="AD88" s="156">
        <v>4000</v>
      </c>
    </row>
    <row r="89" spans="1:31" x14ac:dyDescent="0.2">
      <c r="A89" s="55"/>
      <c r="B89" s="55"/>
      <c r="C89" s="56"/>
      <c r="D89" s="56" t="s">
        <v>61</v>
      </c>
      <c r="E89" s="56"/>
      <c r="F89" s="56"/>
      <c r="G89" s="40">
        <v>8181.02</v>
      </c>
      <c r="H89" s="41"/>
      <c r="I89" s="40">
        <v>4078.47</v>
      </c>
      <c r="J89" s="41"/>
      <c r="K89" s="41">
        <v>11800</v>
      </c>
      <c r="L89" s="41"/>
      <c r="M89" s="42">
        <v>9046.91</v>
      </c>
      <c r="N89" s="42">
        <v>0</v>
      </c>
      <c r="O89" s="43"/>
      <c r="P89" s="43">
        <v>0</v>
      </c>
      <c r="Q89" s="43"/>
      <c r="R89" s="43">
        <v>4078.47</v>
      </c>
      <c r="S89" s="43"/>
      <c r="T89" s="43">
        <v>11800</v>
      </c>
      <c r="U89" s="43"/>
      <c r="V89" s="43">
        <v>0</v>
      </c>
      <c r="W89" s="43"/>
      <c r="X89" s="43">
        <v>8592.31</v>
      </c>
      <c r="Y89" s="65"/>
      <c r="Z89" s="43">
        <v>12000</v>
      </c>
      <c r="AA89" s="65"/>
      <c r="AB89" s="54">
        <v>0</v>
      </c>
      <c r="AC89" s="43"/>
      <c r="AD89" s="156">
        <v>12000</v>
      </c>
    </row>
    <row r="90" spans="1:31" x14ac:dyDescent="0.2">
      <c r="A90" s="55"/>
      <c r="B90" s="55"/>
      <c r="C90" s="56"/>
      <c r="D90" s="56" t="s">
        <v>62</v>
      </c>
      <c r="E90" s="56"/>
      <c r="F90" s="56"/>
      <c r="G90" s="57">
        <v>713.34</v>
      </c>
      <c r="H90" s="41"/>
      <c r="I90" s="57">
        <v>1623.37</v>
      </c>
      <c r="J90" s="41"/>
      <c r="K90" s="72">
        <v>3500</v>
      </c>
      <c r="L90" s="41"/>
      <c r="M90" s="58">
        <v>1914.31</v>
      </c>
      <c r="N90" s="42">
        <v>0</v>
      </c>
      <c r="O90" s="43"/>
      <c r="P90" s="59">
        <v>0</v>
      </c>
      <c r="Q90" s="43"/>
      <c r="R90" s="59">
        <v>1623.37</v>
      </c>
      <c r="S90" s="43"/>
      <c r="T90" s="59">
        <v>4000</v>
      </c>
      <c r="U90" s="76"/>
      <c r="V90" s="59">
        <v>0</v>
      </c>
      <c r="W90" s="76"/>
      <c r="X90" s="59">
        <v>3151.08</v>
      </c>
      <c r="Y90" s="79"/>
      <c r="Z90" s="59">
        <v>4000</v>
      </c>
      <c r="AA90" s="79"/>
      <c r="AB90" s="61">
        <v>187.24</v>
      </c>
      <c r="AC90" s="59"/>
      <c r="AD90" s="158">
        <v>1000</v>
      </c>
    </row>
    <row r="91" spans="1:31" ht="15.75" customHeight="1" x14ac:dyDescent="0.2">
      <c r="A91" s="55"/>
      <c r="B91" s="55"/>
      <c r="C91" s="56" t="s">
        <v>63</v>
      </c>
      <c r="D91" s="56"/>
      <c r="E91" s="56"/>
      <c r="F91" s="56"/>
      <c r="G91" s="40">
        <f>ROUND(SUM(G86:G90),5)</f>
        <v>25033.29</v>
      </c>
      <c r="H91" s="41"/>
      <c r="I91" s="40">
        <f>ROUND(SUM(I86:I90),5)</f>
        <v>37628.22</v>
      </c>
      <c r="J91" s="41"/>
      <c r="K91" s="40">
        <f>ROUND(SUM(K86:K90),5)</f>
        <v>28030</v>
      </c>
      <c r="L91" s="41"/>
      <c r="M91" s="40">
        <f>ROUND(SUM(M86:M90),5)</f>
        <v>22510.66</v>
      </c>
      <c r="N91" s="42">
        <f>ROUND(SUM(N86:N90),5)</f>
        <v>0</v>
      </c>
      <c r="O91" s="43"/>
      <c r="P91" s="40">
        <f>ROUND(SUM(P86:P90),5)</f>
        <v>11239</v>
      </c>
      <c r="Q91" s="43"/>
      <c r="R91" s="43"/>
      <c r="S91" s="43"/>
      <c r="T91" s="40">
        <f>ROUND(SUM(T86:T90),5)</f>
        <v>56375</v>
      </c>
      <c r="U91" s="40"/>
      <c r="V91" s="40">
        <f>ROUND(SUM(V86:V90),5)</f>
        <v>25667.48</v>
      </c>
      <c r="W91" s="40"/>
      <c r="X91" s="40">
        <f>ROUND(SUM(X86:X90),5)</f>
        <v>41617.019999999997</v>
      </c>
      <c r="Y91" s="84"/>
      <c r="Z91" s="40">
        <f>ROUND(SUM(Z86:Z90),5)</f>
        <v>28500</v>
      </c>
      <c r="AA91" s="84"/>
      <c r="AB91" s="40">
        <f>ROUND(SUM(AB86:AB90),5)</f>
        <v>7711.62</v>
      </c>
      <c r="AC91" s="40"/>
      <c r="AD91" s="162">
        <f>ROUND(SUM(AD86:AD90),5)</f>
        <v>45500</v>
      </c>
      <c r="AE91" s="101"/>
    </row>
    <row r="92" spans="1:31" s="98" customFormat="1" ht="24" customHeight="1" x14ac:dyDescent="0.2">
      <c r="A92" s="55"/>
      <c r="B92" s="55"/>
      <c r="C92" s="171" t="s">
        <v>183</v>
      </c>
      <c r="D92" s="171"/>
      <c r="E92" s="171"/>
      <c r="F92" s="56"/>
      <c r="G92" s="40"/>
      <c r="H92" s="41"/>
      <c r="I92" s="40"/>
      <c r="J92" s="41"/>
      <c r="K92" s="40"/>
      <c r="L92" s="41"/>
      <c r="M92" s="40"/>
      <c r="N92" s="42"/>
      <c r="O92" s="43"/>
      <c r="P92" s="40"/>
      <c r="Q92" s="43"/>
      <c r="R92" s="43"/>
      <c r="S92" s="43"/>
      <c r="T92" s="40"/>
      <c r="U92" s="40"/>
      <c r="V92" s="40"/>
      <c r="W92" s="40"/>
      <c r="X92" s="40"/>
      <c r="Y92" s="84"/>
      <c r="Z92" s="131"/>
      <c r="AA92" s="84"/>
      <c r="AB92" s="40"/>
      <c r="AC92" s="40"/>
      <c r="AD92" s="162"/>
    </row>
    <row r="93" spans="1:31" s="98" customFormat="1" x14ac:dyDescent="0.2">
      <c r="A93" s="55"/>
      <c r="B93" s="55"/>
      <c r="C93" s="56"/>
      <c r="D93" s="56" t="s">
        <v>185</v>
      </c>
      <c r="E93" s="56"/>
      <c r="F93" s="56"/>
      <c r="G93" s="40"/>
      <c r="H93" s="41"/>
      <c r="I93" s="40">
        <v>1600</v>
      </c>
      <c r="J93" s="41"/>
      <c r="K93" s="41">
        <v>5000</v>
      </c>
      <c r="L93" s="41"/>
      <c r="M93" s="42">
        <v>500</v>
      </c>
      <c r="N93" s="42">
        <v>0</v>
      </c>
      <c r="O93" s="43"/>
      <c r="P93" s="43">
        <v>0</v>
      </c>
      <c r="Q93" s="43"/>
      <c r="R93" s="43">
        <v>0</v>
      </c>
      <c r="S93" s="43"/>
      <c r="T93" s="43">
        <v>0</v>
      </c>
      <c r="U93" s="40"/>
      <c r="V93" s="40">
        <v>2000</v>
      </c>
      <c r="W93" s="40"/>
      <c r="X93" s="43">
        <v>0</v>
      </c>
      <c r="Y93" s="65"/>
      <c r="Z93" s="43">
        <v>2000</v>
      </c>
      <c r="AA93" s="65"/>
      <c r="AB93" s="43">
        <v>0</v>
      </c>
      <c r="AC93" s="40"/>
      <c r="AD93" s="156">
        <v>2000</v>
      </c>
    </row>
    <row r="94" spans="1:31" s="98" customFormat="1" hidden="1" x14ac:dyDescent="0.2">
      <c r="A94" s="55"/>
      <c r="B94" s="55"/>
      <c r="C94" s="56"/>
      <c r="D94" s="56" t="s">
        <v>187</v>
      </c>
      <c r="E94" s="56"/>
      <c r="F94" s="56"/>
      <c r="G94" s="40"/>
      <c r="H94" s="41"/>
      <c r="I94" s="40">
        <v>0</v>
      </c>
      <c r="J94" s="41"/>
      <c r="K94" s="40"/>
      <c r="L94" s="41"/>
      <c r="M94" s="40">
        <v>0</v>
      </c>
      <c r="N94" s="42"/>
      <c r="O94" s="43"/>
      <c r="P94" s="40"/>
      <c r="Q94" s="43"/>
      <c r="R94" s="43"/>
      <c r="S94" s="43"/>
      <c r="T94" s="40">
        <v>0</v>
      </c>
      <c r="U94" s="40"/>
      <c r="V94" s="40"/>
      <c r="W94" s="40"/>
      <c r="X94" s="43">
        <v>0</v>
      </c>
      <c r="Y94" s="65"/>
      <c r="Z94" s="40"/>
      <c r="AA94" s="65"/>
      <c r="AB94" s="43"/>
      <c r="AC94" s="40"/>
      <c r="AD94" s="156"/>
      <c r="AE94" s="100"/>
    </row>
    <row r="95" spans="1:31" s="98" customFormat="1" x14ac:dyDescent="0.2">
      <c r="A95" s="55"/>
      <c r="B95" s="55"/>
      <c r="C95" s="56"/>
      <c r="D95" s="56" t="s">
        <v>186</v>
      </c>
      <c r="E95" s="56"/>
      <c r="F95" s="56"/>
      <c r="G95" s="40"/>
      <c r="H95" s="41"/>
      <c r="I95" s="57">
        <v>0</v>
      </c>
      <c r="J95" s="41"/>
      <c r="K95" s="40"/>
      <c r="L95" s="41"/>
      <c r="M95" s="57">
        <v>0</v>
      </c>
      <c r="N95" s="42"/>
      <c r="O95" s="43"/>
      <c r="P95" s="40"/>
      <c r="Q95" s="43"/>
      <c r="R95" s="43"/>
      <c r="S95" s="43"/>
      <c r="T95" s="57">
        <v>4500</v>
      </c>
      <c r="U95" s="40"/>
      <c r="V95" s="57">
        <v>4000</v>
      </c>
      <c r="W95" s="40"/>
      <c r="X95" s="59">
        <v>0</v>
      </c>
      <c r="Y95" s="79"/>
      <c r="Z95" s="59"/>
      <c r="AA95" s="79"/>
      <c r="AB95" s="59"/>
      <c r="AC95" s="57"/>
      <c r="AD95" s="158"/>
      <c r="AE95" s="100" t="s">
        <v>191</v>
      </c>
    </row>
    <row r="96" spans="1:31" s="98" customFormat="1" x14ac:dyDescent="0.2">
      <c r="A96" s="55"/>
      <c r="B96" s="55"/>
      <c r="C96" s="56" t="s">
        <v>184</v>
      </c>
      <c r="D96" s="56"/>
      <c r="E96" s="56"/>
      <c r="F96" s="56"/>
      <c r="G96" s="40"/>
      <c r="H96" s="41"/>
      <c r="I96" s="40">
        <f>SUM(I93:I95)</f>
        <v>1600</v>
      </c>
      <c r="J96" s="41"/>
      <c r="K96" s="40"/>
      <c r="L96" s="41"/>
      <c r="M96" s="40">
        <f>SUM(M93:M95)</f>
        <v>500</v>
      </c>
      <c r="N96" s="42"/>
      <c r="O96" s="43"/>
      <c r="P96" s="40"/>
      <c r="Q96" s="43"/>
      <c r="R96" s="43"/>
      <c r="S96" s="43"/>
      <c r="T96" s="40">
        <f>SUM(T93:T95)</f>
        <v>4500</v>
      </c>
      <c r="U96" s="40"/>
      <c r="V96" s="40">
        <f>SUM(V93:V95)</f>
        <v>6000</v>
      </c>
      <c r="W96" s="40"/>
      <c r="X96" s="40">
        <f>SUM(X93:X95)</f>
        <v>0</v>
      </c>
      <c r="Y96" s="84"/>
      <c r="Z96" s="40">
        <f>SUM(Z93:Z95)</f>
        <v>2000</v>
      </c>
      <c r="AA96" s="84"/>
      <c r="AB96" s="40">
        <f>SUM(AB93:AB95)</f>
        <v>0</v>
      </c>
      <c r="AC96" s="40"/>
      <c r="AD96" s="162">
        <f>SUM(AD93:AD95)</f>
        <v>2000</v>
      </c>
    </row>
    <row r="97" spans="1:31" ht="20.100000000000001" customHeight="1" x14ac:dyDescent="0.2">
      <c r="A97" s="55"/>
      <c r="B97" s="55"/>
      <c r="C97" s="56" t="s">
        <v>64</v>
      </c>
      <c r="D97" s="56"/>
      <c r="E97" s="56"/>
      <c r="F97" s="56"/>
      <c r="G97" s="40"/>
      <c r="H97" s="41"/>
      <c r="I97" s="41"/>
      <c r="J97" s="41"/>
      <c r="K97" s="41"/>
      <c r="L97" s="41"/>
      <c r="M97" s="42"/>
      <c r="N97" s="42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65"/>
      <c r="AA97" s="65"/>
      <c r="AB97" s="43"/>
      <c r="AC97" s="43"/>
      <c r="AD97" s="156"/>
    </row>
    <row r="98" spans="1:31" x14ac:dyDescent="0.2">
      <c r="A98" s="55"/>
      <c r="B98" s="55"/>
      <c r="C98" s="56"/>
      <c r="D98" s="56" t="s">
        <v>65</v>
      </c>
      <c r="E98" s="56"/>
      <c r="F98" s="56"/>
      <c r="G98" s="40">
        <v>33700</v>
      </c>
      <c r="H98" s="41"/>
      <c r="I98" s="40">
        <v>38000</v>
      </c>
      <c r="J98" s="41"/>
      <c r="K98" s="41">
        <v>40000</v>
      </c>
      <c r="L98" s="41"/>
      <c r="M98" s="42">
        <v>35942</v>
      </c>
      <c r="N98" s="42">
        <v>0</v>
      </c>
      <c r="O98" s="43"/>
      <c r="P98" s="43">
        <v>16050</v>
      </c>
      <c r="Q98" s="43"/>
      <c r="R98" s="43">
        <v>19000</v>
      </c>
      <c r="S98" s="43"/>
      <c r="T98" s="43">
        <v>50000</v>
      </c>
      <c r="U98" s="43"/>
      <c r="V98" s="43">
        <v>16500</v>
      </c>
      <c r="W98" s="43"/>
      <c r="X98" s="43">
        <v>32680</v>
      </c>
      <c r="Y98" s="65"/>
      <c r="Z98" s="43">
        <v>28000</v>
      </c>
      <c r="AA98" s="65"/>
      <c r="AB98" s="54">
        <v>7400</v>
      </c>
      <c r="AC98" s="43"/>
      <c r="AD98" s="156">
        <v>25000</v>
      </c>
    </row>
    <row r="99" spans="1:31" s="131" customFormat="1" x14ac:dyDescent="0.2">
      <c r="A99" s="55"/>
      <c r="B99" s="55"/>
      <c r="C99" s="56"/>
      <c r="D99" s="56" t="s">
        <v>231</v>
      </c>
      <c r="E99" s="56"/>
      <c r="F99" s="56"/>
      <c r="G99" s="40"/>
      <c r="H99" s="41"/>
      <c r="I99" s="40"/>
      <c r="J99" s="41"/>
      <c r="K99" s="41"/>
      <c r="L99" s="41"/>
      <c r="M99" s="42"/>
      <c r="N99" s="42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65"/>
      <c r="Z99" s="43">
        <v>17000</v>
      </c>
      <c r="AA99" s="65"/>
      <c r="AB99" s="54">
        <v>1627.4</v>
      </c>
      <c r="AC99" s="43"/>
      <c r="AD99" s="156">
        <v>10000</v>
      </c>
    </row>
    <row r="100" spans="1:31" x14ac:dyDescent="0.2">
      <c r="A100" s="55"/>
      <c r="B100" s="55"/>
      <c r="C100" s="56"/>
      <c r="D100" s="56" t="s">
        <v>66</v>
      </c>
      <c r="E100" s="56"/>
      <c r="F100" s="56"/>
      <c r="G100" s="40">
        <v>533.66999999999996</v>
      </c>
      <c r="H100" s="41"/>
      <c r="I100" s="40">
        <v>892.8</v>
      </c>
      <c r="J100" s="41"/>
      <c r="K100" s="41">
        <v>1500</v>
      </c>
      <c r="L100" s="41"/>
      <c r="M100" s="42">
        <v>0</v>
      </c>
      <c r="N100" s="42">
        <v>0</v>
      </c>
      <c r="O100" s="43"/>
      <c r="P100" s="43">
        <v>0</v>
      </c>
      <c r="Q100" s="43"/>
      <c r="R100" s="43">
        <v>898.8</v>
      </c>
      <c r="S100" s="43"/>
      <c r="T100" s="43">
        <v>1000</v>
      </c>
      <c r="U100" s="43"/>
      <c r="V100" s="43">
        <v>0</v>
      </c>
      <c r="W100" s="43"/>
      <c r="X100" s="43">
        <v>967.31</v>
      </c>
      <c r="Y100" s="65"/>
      <c r="Z100" s="43">
        <v>1000</v>
      </c>
      <c r="AA100" s="65"/>
      <c r="AB100" s="54"/>
      <c r="AC100" s="43"/>
      <c r="AD100" s="156">
        <v>3000</v>
      </c>
    </row>
    <row r="101" spans="1:31" x14ac:dyDescent="0.2">
      <c r="A101" s="55"/>
      <c r="B101" s="55"/>
      <c r="C101" s="56"/>
      <c r="D101" s="56" t="s">
        <v>141</v>
      </c>
      <c r="E101" s="56"/>
      <c r="F101" s="56"/>
      <c r="G101" s="40">
        <v>0</v>
      </c>
      <c r="H101" s="41"/>
      <c r="I101" s="40">
        <v>0</v>
      </c>
      <c r="J101" s="41"/>
      <c r="K101" s="41">
        <v>500</v>
      </c>
      <c r="L101" s="41"/>
      <c r="M101" s="42">
        <v>0</v>
      </c>
      <c r="N101" s="42">
        <v>0</v>
      </c>
      <c r="O101" s="43"/>
      <c r="P101" s="43">
        <v>0</v>
      </c>
      <c r="Q101" s="43"/>
      <c r="R101" s="43">
        <v>0</v>
      </c>
      <c r="S101" s="43"/>
      <c r="T101" s="43">
        <v>500</v>
      </c>
      <c r="U101" s="43"/>
      <c r="V101" s="43">
        <v>0</v>
      </c>
      <c r="W101" s="43"/>
      <c r="X101" s="43">
        <v>0</v>
      </c>
      <c r="Y101" s="65"/>
      <c r="Z101" s="43">
        <v>500</v>
      </c>
      <c r="AA101" s="65"/>
      <c r="AB101" s="54">
        <f>85*2</f>
        <v>170</v>
      </c>
      <c r="AC101" s="43"/>
      <c r="AD101" s="156">
        <v>500</v>
      </c>
    </row>
    <row r="102" spans="1:31" x14ac:dyDescent="0.2">
      <c r="A102" s="55"/>
      <c r="B102" s="55"/>
      <c r="C102" s="56"/>
      <c r="D102" s="56" t="s">
        <v>142</v>
      </c>
      <c r="E102" s="56"/>
      <c r="F102" s="56"/>
      <c r="G102" s="57">
        <v>0</v>
      </c>
      <c r="H102" s="41"/>
      <c r="I102" s="62">
        <v>0</v>
      </c>
      <c r="J102" s="41"/>
      <c r="K102" s="72">
        <v>3500</v>
      </c>
      <c r="L102" s="41"/>
      <c r="M102" s="58">
        <v>0</v>
      </c>
      <c r="N102" s="42">
        <v>0</v>
      </c>
      <c r="O102" s="43"/>
      <c r="P102" s="59">
        <v>0</v>
      </c>
      <c r="Q102" s="43"/>
      <c r="R102" s="59">
        <v>0</v>
      </c>
      <c r="S102" s="43"/>
      <c r="T102" s="59">
        <v>1700</v>
      </c>
      <c r="U102" s="76"/>
      <c r="V102" s="59">
        <v>1562</v>
      </c>
      <c r="W102" s="76"/>
      <c r="X102" s="59">
        <v>0</v>
      </c>
      <c r="Y102" s="79"/>
      <c r="Z102" s="59"/>
      <c r="AA102" s="79"/>
      <c r="AB102" s="61"/>
      <c r="AC102" s="59"/>
      <c r="AD102" s="169"/>
      <c r="AE102" s="3" t="s">
        <v>249</v>
      </c>
    </row>
    <row r="103" spans="1:31" s="1" customFormat="1" x14ac:dyDescent="0.2">
      <c r="A103" s="141"/>
      <c r="B103" s="141"/>
      <c r="C103" s="142" t="s">
        <v>67</v>
      </c>
      <c r="D103" s="142"/>
      <c r="E103" s="142"/>
      <c r="F103" s="142"/>
      <c r="G103" s="84">
        <f>ROUND(SUM(G98:G102),5)</f>
        <v>34233.67</v>
      </c>
      <c r="H103" s="48"/>
      <c r="I103" s="84">
        <f>ROUND(SUM(I98:I102),5)</f>
        <v>38892.800000000003</v>
      </c>
      <c r="J103" s="48"/>
      <c r="K103" s="84">
        <f>ROUND(SUM(K98:K102),5)</f>
        <v>45500</v>
      </c>
      <c r="L103" s="48"/>
      <c r="M103" s="84">
        <f>SUM(M98:M102)</f>
        <v>35942</v>
      </c>
      <c r="N103" s="46">
        <f>ROUND(SUM(N98:N102),5)</f>
        <v>0</v>
      </c>
      <c r="O103" s="65"/>
      <c r="P103" s="84">
        <f>ROUND(SUM(P98:P102),5)</f>
        <v>16050</v>
      </c>
      <c r="Q103" s="65"/>
      <c r="R103" s="65"/>
      <c r="S103" s="65"/>
      <c r="T103" s="84">
        <f>ROUND(SUM(T98:T102),5)</f>
        <v>53200</v>
      </c>
      <c r="U103" s="84"/>
      <c r="V103" s="84">
        <f>SUM(V98:V102)</f>
        <v>18062</v>
      </c>
      <c r="W103" s="84"/>
      <c r="X103" s="84">
        <f>SUM(X98:X102)</f>
        <v>33647.31</v>
      </c>
      <c r="Y103" s="84"/>
      <c r="Z103" s="84">
        <f>SUM(Z98:Z102)</f>
        <v>46500</v>
      </c>
      <c r="AA103" s="84"/>
      <c r="AB103" s="84">
        <f>SUM(AB98:AB102)</f>
        <v>9197.4</v>
      </c>
      <c r="AC103" s="84"/>
      <c r="AD103" s="162">
        <f>SUM(AD98:AD102)</f>
        <v>38500</v>
      </c>
    </row>
    <row r="104" spans="1:31" ht="18" customHeight="1" x14ac:dyDescent="0.2">
      <c r="A104" s="55"/>
      <c r="B104" s="55"/>
      <c r="C104" s="56" t="s">
        <v>68</v>
      </c>
      <c r="D104" s="56"/>
      <c r="E104" s="56"/>
      <c r="F104" s="56"/>
      <c r="G104" s="40"/>
      <c r="H104" s="41"/>
      <c r="I104" s="41"/>
      <c r="J104" s="41"/>
      <c r="K104" s="41"/>
      <c r="L104" s="41"/>
      <c r="M104" s="42"/>
      <c r="N104" s="42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65"/>
      <c r="Z104" s="133"/>
      <c r="AA104" s="65"/>
      <c r="AB104" s="43"/>
      <c r="AC104" s="43"/>
      <c r="AD104" s="156"/>
    </row>
    <row r="105" spans="1:31" x14ac:dyDescent="0.2">
      <c r="A105" s="55"/>
      <c r="B105" s="55"/>
      <c r="C105" s="56"/>
      <c r="D105" s="56" t="s">
        <v>233</v>
      </c>
      <c r="E105" s="56"/>
      <c r="F105" s="56"/>
      <c r="G105" s="40">
        <v>4190.1099999999997</v>
      </c>
      <c r="H105" s="41"/>
      <c r="I105" s="41">
        <v>0</v>
      </c>
      <c r="J105" s="41"/>
      <c r="K105" s="41">
        <v>25000</v>
      </c>
      <c r="L105" s="41"/>
      <c r="M105" s="3"/>
      <c r="N105" s="42">
        <v>0</v>
      </c>
      <c r="O105" s="43"/>
      <c r="P105" s="43">
        <v>15038</v>
      </c>
      <c r="Q105" s="43"/>
      <c r="R105" s="43">
        <v>0</v>
      </c>
      <c r="S105" s="43"/>
      <c r="T105" s="43">
        <v>0</v>
      </c>
      <c r="U105" s="43"/>
      <c r="V105" s="43">
        <v>-1917.81</v>
      </c>
      <c r="W105" s="43"/>
      <c r="X105" s="43">
        <v>22497.93</v>
      </c>
      <c r="Y105" s="65"/>
      <c r="Z105" s="43">
        <v>5000</v>
      </c>
      <c r="AA105" s="65"/>
      <c r="AB105" s="54">
        <v>-13487.49</v>
      </c>
      <c r="AC105" s="43"/>
      <c r="AD105" s="156">
        <v>5000</v>
      </c>
      <c r="AE105" s="3" t="s">
        <v>234</v>
      </c>
    </row>
    <row r="106" spans="1:31" x14ac:dyDescent="0.2">
      <c r="A106" s="55"/>
      <c r="B106" s="55"/>
      <c r="C106" s="56"/>
      <c r="D106" s="56" t="s">
        <v>237</v>
      </c>
      <c r="E106" s="56"/>
      <c r="F106" s="56"/>
      <c r="G106" s="40">
        <v>9690</v>
      </c>
      <c r="H106" s="41"/>
      <c r="I106" s="41">
        <v>0</v>
      </c>
      <c r="J106" s="41"/>
      <c r="K106" s="41">
        <v>10000</v>
      </c>
      <c r="L106" s="41"/>
      <c r="M106" s="42">
        <v>14731.4</v>
      </c>
      <c r="N106" s="42">
        <v>0</v>
      </c>
      <c r="O106" s="43"/>
      <c r="P106" s="43">
        <v>0</v>
      </c>
      <c r="Q106" s="43"/>
      <c r="R106" s="43">
        <v>0</v>
      </c>
      <c r="S106" s="43"/>
      <c r="T106" s="43">
        <v>0</v>
      </c>
      <c r="U106" s="43"/>
      <c r="V106" s="43">
        <v>0</v>
      </c>
      <c r="W106" s="43"/>
      <c r="X106" s="43">
        <v>0</v>
      </c>
      <c r="Y106" s="65"/>
      <c r="Z106" s="43">
        <v>0</v>
      </c>
      <c r="AA106" s="65"/>
      <c r="AB106" s="54">
        <v>0</v>
      </c>
      <c r="AC106" s="43"/>
      <c r="AD106" s="156">
        <v>10000</v>
      </c>
    </row>
    <row r="107" spans="1:31" x14ac:dyDescent="0.2">
      <c r="A107" s="55"/>
      <c r="B107" s="55"/>
      <c r="C107" s="56"/>
      <c r="D107" s="56" t="s">
        <v>69</v>
      </c>
      <c r="E107" s="3"/>
      <c r="F107" s="56"/>
      <c r="G107" s="40">
        <v>14050.86</v>
      </c>
      <c r="H107" s="41"/>
      <c r="I107" s="40">
        <v>12025.41</v>
      </c>
      <c r="J107" s="41"/>
      <c r="K107" s="41">
        <v>10000</v>
      </c>
      <c r="L107" s="41"/>
      <c r="M107" s="42">
        <v>7198.22</v>
      </c>
      <c r="N107" s="42">
        <v>0</v>
      </c>
      <c r="O107" s="43"/>
      <c r="P107" s="43">
        <v>0</v>
      </c>
      <c r="Q107" s="43"/>
      <c r="R107" s="43">
        <v>12025.41</v>
      </c>
      <c r="S107" s="43"/>
      <c r="T107" s="43">
        <v>12000</v>
      </c>
      <c r="U107" s="43"/>
      <c r="V107" s="43">
        <v>0</v>
      </c>
      <c r="W107" s="43"/>
      <c r="X107" s="43">
        <v>12445.65</v>
      </c>
      <c r="Y107" s="65"/>
      <c r="Z107" s="43">
        <v>14000</v>
      </c>
      <c r="AA107" s="65"/>
      <c r="AB107" s="54">
        <v>11821.56</v>
      </c>
      <c r="AC107" s="43"/>
      <c r="AD107" s="156">
        <v>12500</v>
      </c>
      <c r="AE107" s="5"/>
    </row>
    <row r="108" spans="1:31" x14ac:dyDescent="0.2">
      <c r="A108" s="55"/>
      <c r="B108" s="55"/>
      <c r="C108" s="56"/>
      <c r="D108" s="56" t="s">
        <v>70</v>
      </c>
      <c r="E108" s="3"/>
      <c r="F108" s="56"/>
      <c r="G108" s="57">
        <v>4259.97</v>
      </c>
      <c r="H108" s="41"/>
      <c r="I108" s="57">
        <v>3180.96</v>
      </c>
      <c r="J108" s="41"/>
      <c r="K108" s="72">
        <v>3500</v>
      </c>
      <c r="L108" s="41"/>
      <c r="M108" s="58">
        <v>2155.06</v>
      </c>
      <c r="N108" s="42">
        <v>0</v>
      </c>
      <c r="O108" s="43"/>
      <c r="P108" s="59">
        <v>0</v>
      </c>
      <c r="Q108" s="43"/>
      <c r="R108" s="59">
        <v>3180.96</v>
      </c>
      <c r="S108" s="43"/>
      <c r="T108" s="59">
        <v>2000</v>
      </c>
      <c r="U108" s="76"/>
      <c r="V108" s="59">
        <v>0</v>
      </c>
      <c r="W108" s="76"/>
      <c r="X108" s="59">
        <v>1587.56</v>
      </c>
      <c r="Y108" s="79"/>
      <c r="Z108" s="59">
        <v>2000</v>
      </c>
      <c r="AA108" s="79"/>
      <c r="AB108" s="61">
        <v>2956.43</v>
      </c>
      <c r="AC108" s="59"/>
      <c r="AD108" s="158">
        <f>3000+2500</f>
        <v>5500</v>
      </c>
      <c r="AE108" s="3" t="s">
        <v>253</v>
      </c>
    </row>
    <row r="109" spans="1:31" s="1" customFormat="1" ht="20.100000000000001" customHeight="1" x14ac:dyDescent="0.2">
      <c r="A109" s="141"/>
      <c r="B109" s="141"/>
      <c r="C109" s="142" t="s">
        <v>71</v>
      </c>
      <c r="D109" s="142"/>
      <c r="E109" s="142"/>
      <c r="F109" s="142"/>
      <c r="G109" s="84">
        <f>ROUND(SUM(G105:G108),5)</f>
        <v>32190.94</v>
      </c>
      <c r="H109" s="48"/>
      <c r="I109" s="84">
        <f>ROUND(SUM(I105:I108),5)</f>
        <v>15206.37</v>
      </c>
      <c r="J109" s="48"/>
      <c r="K109" s="84">
        <f>ROUND(SUM(K105:K108),5)</f>
        <v>48500</v>
      </c>
      <c r="L109" s="48"/>
      <c r="M109" s="84">
        <f>ROUND(SUM(M106:M108),5)</f>
        <v>24084.68</v>
      </c>
      <c r="N109" s="46" t="e">
        <f>ROUND(#REF!,5)</f>
        <v>#REF!</v>
      </c>
      <c r="O109" s="65"/>
      <c r="P109" s="84">
        <f>ROUND(SUM(P105:P108),5)</f>
        <v>15038</v>
      </c>
      <c r="Q109" s="65"/>
      <c r="R109" s="84">
        <f>ROUND(SUM(R105:R108),5)</f>
        <v>15206.37</v>
      </c>
      <c r="S109" s="65"/>
      <c r="T109" s="84">
        <f>ROUND(SUM(T105:T108),5)</f>
        <v>14000</v>
      </c>
      <c r="U109" s="84"/>
      <c r="V109" s="84">
        <f>ROUND(SUM(V105:V108),5)</f>
        <v>-1917.81</v>
      </c>
      <c r="W109" s="84"/>
      <c r="X109" s="84">
        <f>ROUND(SUM(X105:X108),5)</f>
        <v>36531.14</v>
      </c>
      <c r="Y109" s="84"/>
      <c r="Z109" s="84">
        <f>ROUND(SUM(Z104:Z108),5)</f>
        <v>21000</v>
      </c>
      <c r="AA109" s="84"/>
      <c r="AB109" s="84">
        <f>ROUND(SUM(AB105:AB108),5)</f>
        <v>1290.5</v>
      </c>
      <c r="AC109" s="84"/>
      <c r="AD109" s="162">
        <f>ROUND(SUM(AD105:AD108),5)</f>
        <v>33000</v>
      </c>
    </row>
    <row r="110" spans="1:31" ht="20.100000000000001" customHeight="1" x14ac:dyDescent="0.2">
      <c r="A110" s="55"/>
      <c r="B110" s="55"/>
      <c r="C110" s="56" t="s">
        <v>72</v>
      </c>
      <c r="D110" s="56"/>
      <c r="E110" s="56"/>
      <c r="F110" s="56"/>
      <c r="G110" s="40"/>
      <c r="H110" s="41"/>
      <c r="I110" s="41"/>
      <c r="J110" s="41"/>
      <c r="K110" s="41"/>
      <c r="L110" s="41"/>
      <c r="M110" s="42"/>
      <c r="N110" s="42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65"/>
      <c r="AA110" s="65"/>
      <c r="AB110" s="43"/>
      <c r="AC110" s="43"/>
      <c r="AD110" s="156"/>
    </row>
    <row r="111" spans="1:31" x14ac:dyDescent="0.2">
      <c r="A111" s="55"/>
      <c r="B111" s="55"/>
      <c r="C111" s="56"/>
      <c r="D111" s="56" t="s">
        <v>152</v>
      </c>
      <c r="E111" s="56"/>
      <c r="F111" s="56"/>
      <c r="G111" s="40">
        <v>1000</v>
      </c>
      <c r="H111" s="41"/>
      <c r="I111" s="40">
        <v>1000</v>
      </c>
      <c r="J111" s="41"/>
      <c r="K111" s="42">
        <v>1600</v>
      </c>
      <c r="L111" s="41"/>
      <c r="M111" s="42">
        <v>3347.4</v>
      </c>
      <c r="N111" s="42">
        <v>1000</v>
      </c>
      <c r="O111" s="43"/>
      <c r="P111" s="43">
        <v>231.6</v>
      </c>
      <c r="Q111" s="43"/>
      <c r="R111" s="43">
        <v>0</v>
      </c>
      <c r="S111" s="43"/>
      <c r="T111" s="43">
        <v>1000</v>
      </c>
      <c r="U111" s="43"/>
      <c r="V111" s="43">
        <v>0</v>
      </c>
      <c r="W111" s="43"/>
      <c r="X111" s="43">
        <v>0</v>
      </c>
      <c r="Y111" s="65"/>
      <c r="Z111" s="131">
        <v>250</v>
      </c>
      <c r="AA111" s="65"/>
      <c r="AB111" s="43">
        <v>0</v>
      </c>
      <c r="AC111" s="43"/>
      <c r="AD111" s="156">
        <v>250</v>
      </c>
    </row>
    <row r="112" spans="1:31" x14ac:dyDescent="0.2">
      <c r="A112" s="55"/>
      <c r="B112" s="55"/>
      <c r="C112" s="56"/>
      <c r="D112" s="56" t="s">
        <v>73</v>
      </c>
      <c r="E112" s="56"/>
      <c r="F112" s="56"/>
      <c r="G112" s="40">
        <v>6431.41</v>
      </c>
      <c r="H112" s="41"/>
      <c r="I112" s="40">
        <v>0</v>
      </c>
      <c r="J112" s="41"/>
      <c r="K112" s="42">
        <v>3000</v>
      </c>
      <c r="L112" s="41"/>
      <c r="M112" s="42">
        <v>1086.6400000000001</v>
      </c>
      <c r="N112" s="42">
        <v>3000</v>
      </c>
      <c r="O112" s="43"/>
      <c r="P112" s="43">
        <v>160.63999999999999</v>
      </c>
      <c r="Q112" s="43"/>
      <c r="R112" s="43">
        <v>0</v>
      </c>
      <c r="S112" s="43"/>
      <c r="T112" s="43">
        <v>3000</v>
      </c>
      <c r="U112" s="43"/>
      <c r="V112" s="43">
        <v>1195.69</v>
      </c>
      <c r="W112" s="43"/>
      <c r="X112" s="43">
        <v>694.45</v>
      </c>
      <c r="Y112" s="65"/>
      <c r="Z112" s="43">
        <v>2000</v>
      </c>
      <c r="AA112" s="65"/>
      <c r="AB112" s="54">
        <v>221.47</v>
      </c>
      <c r="AC112" s="43"/>
      <c r="AD112" s="156">
        <v>2000</v>
      </c>
    </row>
    <row r="113" spans="1:31" x14ac:dyDescent="0.2">
      <c r="A113" s="55"/>
      <c r="B113" s="55"/>
      <c r="C113" s="56"/>
      <c r="D113" s="56" t="s">
        <v>143</v>
      </c>
      <c r="E113" s="56"/>
      <c r="F113" s="56"/>
      <c r="G113" s="40">
        <v>0</v>
      </c>
      <c r="H113" s="41"/>
      <c r="I113" s="40">
        <v>276.77</v>
      </c>
      <c r="J113" s="41"/>
      <c r="K113" s="42">
        <v>1000</v>
      </c>
      <c r="L113" s="41"/>
      <c r="M113" s="42">
        <v>822.52</v>
      </c>
      <c r="N113" s="42">
        <v>1000</v>
      </c>
      <c r="O113" s="43"/>
      <c r="P113" s="43">
        <v>822.52</v>
      </c>
      <c r="Q113" s="43"/>
      <c r="R113" s="43">
        <v>276.77</v>
      </c>
      <c r="S113" s="43"/>
      <c r="T113" s="43">
        <v>1000</v>
      </c>
      <c r="U113" s="65"/>
      <c r="V113" s="43">
        <v>189.76</v>
      </c>
      <c r="W113" s="65"/>
      <c r="X113" s="43">
        <v>532.20000000000005</v>
      </c>
      <c r="Y113" s="65"/>
      <c r="Z113" s="43">
        <v>1000</v>
      </c>
      <c r="AA113" s="65"/>
      <c r="AB113" s="54">
        <v>344.9</v>
      </c>
      <c r="AC113" s="43"/>
      <c r="AD113" s="156">
        <v>1000</v>
      </c>
      <c r="AE113" s="5"/>
    </row>
    <row r="114" spans="1:31" s="33" customFormat="1" x14ac:dyDescent="0.2">
      <c r="A114" s="55"/>
      <c r="B114" s="55"/>
      <c r="C114" s="56"/>
      <c r="D114" s="56" t="s">
        <v>188</v>
      </c>
      <c r="E114" s="56"/>
      <c r="F114" s="56"/>
      <c r="G114" s="57"/>
      <c r="H114" s="41"/>
      <c r="I114" s="57">
        <v>0</v>
      </c>
      <c r="J114" s="41"/>
      <c r="K114" s="58">
        <v>6000</v>
      </c>
      <c r="L114" s="41"/>
      <c r="M114" s="58">
        <v>3000</v>
      </c>
      <c r="N114" s="42">
        <v>6000</v>
      </c>
      <c r="O114" s="43"/>
      <c r="P114" s="59">
        <v>3000</v>
      </c>
      <c r="Q114" s="43"/>
      <c r="R114" s="59"/>
      <c r="S114" s="43"/>
      <c r="T114" s="59">
        <v>6000</v>
      </c>
      <c r="U114" s="76"/>
      <c r="V114" s="59">
        <v>3000</v>
      </c>
      <c r="W114" s="76"/>
      <c r="X114" s="59">
        <v>3000</v>
      </c>
      <c r="Y114" s="79"/>
      <c r="Z114" s="59">
        <v>5000</v>
      </c>
      <c r="AA114" s="79"/>
      <c r="AB114" s="61">
        <v>3000</v>
      </c>
      <c r="AC114" s="59"/>
      <c r="AD114" s="158">
        <v>5000</v>
      </c>
      <c r="AE114" s="5"/>
    </row>
    <row r="115" spans="1:31" s="1" customFormat="1" x14ac:dyDescent="0.2">
      <c r="A115" s="141"/>
      <c r="B115" s="141"/>
      <c r="C115" s="142" t="s">
        <v>74</v>
      </c>
      <c r="D115" s="142"/>
      <c r="E115" s="142"/>
      <c r="F115" s="142"/>
      <c r="G115" s="84">
        <f>ROUND(SUM(G111:G113),5)</f>
        <v>7431.41</v>
      </c>
      <c r="H115" s="48"/>
      <c r="I115" s="84">
        <f>ROUND(SUM(I111:I114),5)</f>
        <v>1276.77</v>
      </c>
      <c r="J115" s="48"/>
      <c r="K115" s="84">
        <f>ROUND(SUM(K111:K114),5)</f>
        <v>11600</v>
      </c>
      <c r="L115" s="48"/>
      <c r="M115" s="84">
        <f>ROUND(SUM(M111:M114),5)</f>
        <v>8256.56</v>
      </c>
      <c r="N115" s="46">
        <v>11000</v>
      </c>
      <c r="O115" s="65"/>
      <c r="P115" s="84">
        <f>ROUND(SUM(P111:P114),5)</f>
        <v>4214.76</v>
      </c>
      <c r="Q115" s="65"/>
      <c r="R115" s="65"/>
      <c r="S115" s="65"/>
      <c r="T115" s="84">
        <f>ROUND(SUM(T111:T114),5)</f>
        <v>11000</v>
      </c>
      <c r="U115" s="84"/>
      <c r="V115" s="84">
        <f>ROUND(SUM(V111:V114),5)</f>
        <v>4385.45</v>
      </c>
      <c r="W115" s="84"/>
      <c r="X115" s="84">
        <f>ROUND(SUM(X111:X114),5)</f>
        <v>4226.6499999999996</v>
      </c>
      <c r="Y115" s="84"/>
      <c r="Z115" s="84">
        <f>ROUND(SUM(Z111:Z114),5)</f>
        <v>8250</v>
      </c>
      <c r="AA115" s="84"/>
      <c r="AB115" s="46">
        <f>ROUND(SUM(AB111:AB114),5)</f>
        <v>3566.37</v>
      </c>
      <c r="AC115" s="84"/>
      <c r="AD115" s="162">
        <f>ROUND(SUM(AD111:AD114),5)</f>
        <v>8250</v>
      </c>
      <c r="AE115" s="68"/>
    </row>
    <row r="116" spans="1:31" ht="20.100000000000001" customHeight="1" x14ac:dyDescent="0.2">
      <c r="A116" s="55"/>
      <c r="B116" s="55"/>
      <c r="C116" s="56" t="s">
        <v>75</v>
      </c>
      <c r="D116" s="56"/>
      <c r="E116" s="56"/>
      <c r="F116" s="56"/>
      <c r="G116" s="40"/>
      <c r="H116" s="41"/>
      <c r="I116" s="41"/>
      <c r="J116" s="41"/>
      <c r="K116" s="41"/>
      <c r="L116" s="41"/>
      <c r="M116" s="42"/>
      <c r="N116" s="42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65"/>
      <c r="AA116" s="65"/>
      <c r="AB116" s="54"/>
      <c r="AC116" s="43"/>
      <c r="AD116" s="156"/>
      <c r="AE116" s="5"/>
    </row>
    <row r="117" spans="1:31" x14ac:dyDescent="0.2">
      <c r="A117" s="55"/>
      <c r="B117" s="55"/>
      <c r="C117" s="56"/>
      <c r="D117" s="56" t="s">
        <v>76</v>
      </c>
      <c r="E117" s="56"/>
      <c r="F117" s="56"/>
      <c r="G117" s="40">
        <v>160</v>
      </c>
      <c r="H117" s="41"/>
      <c r="I117" s="45">
        <v>180</v>
      </c>
      <c r="J117" s="41"/>
      <c r="K117" s="42">
        <v>180</v>
      </c>
      <c r="L117" s="41"/>
      <c r="M117" s="42">
        <v>160</v>
      </c>
      <c r="N117" s="42">
        <v>0</v>
      </c>
      <c r="O117" s="43"/>
      <c r="P117" s="43">
        <v>10</v>
      </c>
      <c r="Q117" s="43"/>
      <c r="R117" s="43">
        <v>0</v>
      </c>
      <c r="S117" s="43"/>
      <c r="T117" s="43">
        <v>180</v>
      </c>
      <c r="U117" s="43"/>
      <c r="V117" s="43">
        <v>150</v>
      </c>
      <c r="W117" s="43"/>
      <c r="X117" s="43">
        <v>95</v>
      </c>
      <c r="Y117" s="65"/>
      <c r="Z117" s="43">
        <v>150</v>
      </c>
      <c r="AA117" s="65"/>
      <c r="AB117" s="54">
        <v>230</v>
      </c>
      <c r="AC117" s="43"/>
      <c r="AD117" s="156">
        <v>150</v>
      </c>
      <c r="AE117" s="5"/>
    </row>
    <row r="118" spans="1:31" x14ac:dyDescent="0.2">
      <c r="A118" s="55"/>
      <c r="B118" s="55"/>
      <c r="C118" s="56"/>
      <c r="D118" s="56" t="s">
        <v>77</v>
      </c>
      <c r="E118" s="56"/>
      <c r="F118" s="56"/>
      <c r="G118" s="40">
        <v>28450.73</v>
      </c>
      <c r="H118" s="41"/>
      <c r="I118" s="45">
        <v>61537.279999999999</v>
      </c>
      <c r="J118" s="41"/>
      <c r="K118" s="42">
        <v>50000</v>
      </c>
      <c r="L118" s="41"/>
      <c r="M118" s="42">
        <v>35518.75</v>
      </c>
      <c r="N118" s="44">
        <v>0</v>
      </c>
      <c r="O118" s="43"/>
      <c r="P118" s="43">
        <v>25739</v>
      </c>
      <c r="Q118" s="43"/>
      <c r="R118" s="43">
        <v>26540</v>
      </c>
      <c r="S118" s="43"/>
      <c r="T118" s="43">
        <v>35700</v>
      </c>
      <c r="U118" s="43"/>
      <c r="V118" s="43">
        <v>28351.75</v>
      </c>
      <c r="W118" s="43"/>
      <c r="X118" s="43">
        <v>53031.25</v>
      </c>
      <c r="Y118" s="65"/>
      <c r="Z118" s="43">
        <v>31000</v>
      </c>
      <c r="AA118" s="65"/>
      <c r="AB118" s="54">
        <v>24600</v>
      </c>
      <c r="AC118" s="43"/>
      <c r="AD118" s="156">
        <f>SUM(1500*12)+10000</f>
        <v>28000</v>
      </c>
      <c r="AE118" s="5"/>
    </row>
    <row r="119" spans="1:31" x14ac:dyDescent="0.2">
      <c r="A119" s="55"/>
      <c r="B119" s="55"/>
      <c r="C119" s="56"/>
      <c r="D119" s="56" t="s">
        <v>78</v>
      </c>
      <c r="E119" s="56"/>
      <c r="F119" s="56"/>
      <c r="G119" s="40">
        <v>2009.56</v>
      </c>
      <c r="H119" s="41"/>
      <c r="I119" s="45">
        <v>1520.45</v>
      </c>
      <c r="J119" s="41"/>
      <c r="K119" s="42">
        <v>1800</v>
      </c>
      <c r="L119" s="41"/>
      <c r="M119" s="42">
        <v>1840.73</v>
      </c>
      <c r="N119" s="42">
        <v>0</v>
      </c>
      <c r="O119" s="43"/>
      <c r="P119" s="43">
        <v>1246</v>
      </c>
      <c r="Q119" s="43"/>
      <c r="R119" s="43">
        <v>1127.06</v>
      </c>
      <c r="S119" s="43"/>
      <c r="T119" s="43">
        <v>3030</v>
      </c>
      <c r="U119" s="43"/>
      <c r="V119" s="43">
        <v>436</v>
      </c>
      <c r="W119" s="43"/>
      <c r="X119" s="43">
        <v>540.44000000000005</v>
      </c>
      <c r="Y119" s="65"/>
      <c r="Z119" s="43">
        <v>400</v>
      </c>
      <c r="AA119" s="65"/>
      <c r="AB119" s="54">
        <v>159.28</v>
      </c>
      <c r="AC119" s="43"/>
      <c r="AD119" s="156">
        <v>400</v>
      </c>
      <c r="AE119" s="5"/>
    </row>
    <row r="120" spans="1:31" x14ac:dyDescent="0.2">
      <c r="A120" s="55"/>
      <c r="B120" s="55"/>
      <c r="C120" s="56"/>
      <c r="D120" s="56" t="s">
        <v>79</v>
      </c>
      <c r="E120" s="56"/>
      <c r="F120" s="56"/>
      <c r="G120" s="57">
        <v>-285.89</v>
      </c>
      <c r="H120" s="41"/>
      <c r="I120" s="60">
        <v>867</v>
      </c>
      <c r="J120" s="41"/>
      <c r="K120" s="58">
        <v>2235</v>
      </c>
      <c r="L120" s="41"/>
      <c r="M120" s="58">
        <v>663</v>
      </c>
      <c r="N120" s="42">
        <v>0</v>
      </c>
      <c r="O120" s="43"/>
      <c r="P120" s="59">
        <v>628</v>
      </c>
      <c r="Q120" s="43"/>
      <c r="R120" s="59">
        <v>289</v>
      </c>
      <c r="S120" s="43"/>
      <c r="T120" s="59">
        <v>1000</v>
      </c>
      <c r="U120" s="76"/>
      <c r="V120" s="59">
        <v>593.94000000000005</v>
      </c>
      <c r="W120" s="76"/>
      <c r="X120" s="59">
        <v>1038</v>
      </c>
      <c r="Y120" s="79"/>
      <c r="Z120" s="59">
        <v>1100</v>
      </c>
      <c r="AA120" s="79"/>
      <c r="AB120" s="61">
        <v>219.56</v>
      </c>
      <c r="AC120" s="76"/>
      <c r="AD120" s="158">
        <v>1100</v>
      </c>
      <c r="AE120" s="5" t="s">
        <v>195</v>
      </c>
    </row>
    <row r="121" spans="1:31" s="1" customFormat="1" x14ac:dyDescent="0.2">
      <c r="A121" s="141"/>
      <c r="B121" s="141"/>
      <c r="C121" s="142" t="s">
        <v>80</v>
      </c>
      <c r="D121" s="142"/>
      <c r="E121" s="142"/>
      <c r="F121" s="142"/>
      <c r="G121" s="84">
        <f>ROUND(SUM(G116:G120),5)</f>
        <v>30334.400000000001</v>
      </c>
      <c r="H121" s="48"/>
      <c r="I121" s="46">
        <f>ROUND(SUM(I117:I120),5)</f>
        <v>64104.73</v>
      </c>
      <c r="J121" s="48"/>
      <c r="K121" s="46">
        <f>ROUND(SUM(K117:K120),5)</f>
        <v>54215</v>
      </c>
      <c r="L121" s="48"/>
      <c r="M121" s="46">
        <f>ROUND(SUM(M117:M120),5)</f>
        <v>38182.480000000003</v>
      </c>
      <c r="N121" s="44">
        <f>ROUND(SUM(N117:N120),5)</f>
        <v>0</v>
      </c>
      <c r="O121" s="65"/>
      <c r="P121" s="46">
        <f>ROUND(SUM(P117:P120),5)</f>
        <v>27623</v>
      </c>
      <c r="Q121" s="65"/>
      <c r="R121" s="65"/>
      <c r="S121" s="65"/>
      <c r="T121" s="46">
        <f>ROUND(SUM(T117:T120),5)</f>
        <v>39910</v>
      </c>
      <c r="U121" s="46"/>
      <c r="V121" s="46">
        <f>ROUND(SUM(V117:V120),5)</f>
        <v>29531.69</v>
      </c>
      <c r="W121" s="46"/>
      <c r="X121" s="46">
        <f>ROUND(SUM(X117:X120),5)</f>
        <v>54704.69</v>
      </c>
      <c r="Y121" s="46"/>
      <c r="Z121" s="46">
        <f>ROUND(SUM(Z117:Z120),5)</f>
        <v>32650</v>
      </c>
      <c r="AA121" s="46"/>
      <c r="AB121" s="46">
        <f>ROUND(SUM(AB117:AB120),5)</f>
        <v>25208.84</v>
      </c>
      <c r="AC121" s="46"/>
      <c r="AD121" s="166">
        <f>ROUND(SUM(AD117:AD120),5)</f>
        <v>29650</v>
      </c>
      <c r="AE121" s="68"/>
    </row>
    <row r="122" spans="1:31" ht="20.100000000000001" customHeight="1" x14ac:dyDescent="0.2">
      <c r="A122" s="55"/>
      <c r="B122" s="55"/>
      <c r="C122" s="56" t="s">
        <v>81</v>
      </c>
      <c r="D122" s="56"/>
      <c r="E122" s="56"/>
      <c r="F122" s="56"/>
      <c r="G122" s="40"/>
      <c r="H122" s="41"/>
      <c r="I122" s="42"/>
      <c r="J122" s="41"/>
      <c r="K122" s="41"/>
      <c r="L122" s="41"/>
      <c r="M122" s="42"/>
      <c r="N122" s="42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65"/>
      <c r="AA122" s="65"/>
      <c r="AB122" s="54"/>
      <c r="AC122" s="43"/>
      <c r="AD122" s="156"/>
      <c r="AE122" s="5"/>
    </row>
    <row r="123" spans="1:31" x14ac:dyDescent="0.2">
      <c r="A123" s="55"/>
      <c r="B123" s="55"/>
      <c r="C123" s="56"/>
      <c r="D123" s="56" t="s">
        <v>82</v>
      </c>
      <c r="E123" s="56"/>
      <c r="F123" s="56"/>
      <c r="G123" s="40">
        <v>2609.35</v>
      </c>
      <c r="H123" s="41"/>
      <c r="I123" s="45">
        <v>2940.08</v>
      </c>
      <c r="J123" s="41"/>
      <c r="K123" s="42">
        <v>3500</v>
      </c>
      <c r="L123" s="41"/>
      <c r="M123" s="42">
        <v>2299.5700000000002</v>
      </c>
      <c r="N123" s="44">
        <v>0</v>
      </c>
      <c r="O123" s="43"/>
      <c r="P123" s="43">
        <v>1163</v>
      </c>
      <c r="Q123" s="43"/>
      <c r="R123" s="43">
        <v>1234.33</v>
      </c>
      <c r="S123" s="43"/>
      <c r="T123" s="43">
        <v>3000</v>
      </c>
      <c r="U123" s="43"/>
      <c r="V123" s="43">
        <v>3087.19</v>
      </c>
      <c r="W123" s="43"/>
      <c r="X123" s="43">
        <v>1325.89</v>
      </c>
      <c r="Y123" s="65"/>
      <c r="Z123" s="43">
        <v>3000</v>
      </c>
      <c r="AA123" s="65"/>
      <c r="AB123" s="54">
        <v>621.16</v>
      </c>
      <c r="AC123" s="43"/>
      <c r="AD123" s="156">
        <v>2500</v>
      </c>
      <c r="AE123" s="5"/>
    </row>
    <row r="124" spans="1:31" x14ac:dyDescent="0.2">
      <c r="A124" s="55"/>
      <c r="B124" s="55"/>
      <c r="C124" s="56"/>
      <c r="D124" s="56" t="s">
        <v>83</v>
      </c>
      <c r="E124" s="56"/>
      <c r="F124" s="56"/>
      <c r="G124" s="40">
        <v>2153.25</v>
      </c>
      <c r="H124" s="41"/>
      <c r="I124" s="45">
        <v>762.66</v>
      </c>
      <c r="J124" s="41"/>
      <c r="K124" s="42">
        <v>1350</v>
      </c>
      <c r="L124" s="41"/>
      <c r="M124" s="42">
        <v>2343.9899999999998</v>
      </c>
      <c r="N124" s="44">
        <v>0</v>
      </c>
      <c r="O124" s="43"/>
      <c r="P124" s="43">
        <v>2344</v>
      </c>
      <c r="Q124" s="43"/>
      <c r="R124" s="43">
        <v>0</v>
      </c>
      <c r="S124" s="43"/>
      <c r="T124" s="43">
        <v>2500</v>
      </c>
      <c r="U124" s="43"/>
      <c r="V124" s="43">
        <v>3603.58</v>
      </c>
      <c r="W124" s="43"/>
      <c r="X124" s="43">
        <v>2838</v>
      </c>
      <c r="Y124" s="65"/>
      <c r="Z124" s="43">
        <v>3000</v>
      </c>
      <c r="AA124" s="65"/>
      <c r="AB124" s="54">
        <v>2979.75</v>
      </c>
      <c r="AC124" s="43"/>
      <c r="AD124" s="156">
        <v>3500</v>
      </c>
      <c r="AE124" s="5"/>
    </row>
    <row r="125" spans="1:31" x14ac:dyDescent="0.2">
      <c r="A125" s="55"/>
      <c r="B125" s="55"/>
      <c r="C125" s="56"/>
      <c r="D125" s="56" t="s">
        <v>144</v>
      </c>
      <c r="E125" s="56"/>
      <c r="F125" s="56"/>
      <c r="G125" s="40">
        <v>0</v>
      </c>
      <c r="H125" s="41"/>
      <c r="I125" s="45">
        <v>1863.34</v>
      </c>
      <c r="J125" s="41"/>
      <c r="K125" s="42">
        <v>1040</v>
      </c>
      <c r="L125" s="41"/>
      <c r="M125" s="42">
        <v>1007.32</v>
      </c>
      <c r="N125" s="42">
        <v>0</v>
      </c>
      <c r="O125" s="43"/>
      <c r="P125" s="43">
        <v>0</v>
      </c>
      <c r="Q125" s="43"/>
      <c r="R125" s="43">
        <v>1863.34</v>
      </c>
      <c r="S125" s="43"/>
      <c r="T125" s="43">
        <v>1040</v>
      </c>
      <c r="U125" s="43"/>
      <c r="V125" s="43">
        <v>951.06</v>
      </c>
      <c r="W125" s="43"/>
      <c r="X125" s="43">
        <v>1059.56</v>
      </c>
      <c r="Y125" s="65"/>
      <c r="Z125" s="43">
        <v>1300</v>
      </c>
      <c r="AA125" s="65"/>
      <c r="AB125" s="54">
        <v>0</v>
      </c>
      <c r="AC125" s="43"/>
      <c r="AD125" s="156">
        <v>1300</v>
      </c>
      <c r="AE125" s="5"/>
    </row>
    <row r="126" spans="1:31" x14ac:dyDescent="0.2">
      <c r="A126" s="55"/>
      <c r="B126" s="55"/>
      <c r="C126" s="56"/>
      <c r="D126" s="56" t="s">
        <v>84</v>
      </c>
      <c r="E126" s="56"/>
      <c r="F126" s="56"/>
      <c r="G126" s="40">
        <v>6733.67</v>
      </c>
      <c r="H126" s="41"/>
      <c r="I126" s="45">
        <v>17545.490000000002</v>
      </c>
      <c r="J126" s="41"/>
      <c r="K126" s="42">
        <v>18000</v>
      </c>
      <c r="L126" s="41"/>
      <c r="M126" s="42">
        <v>25217.23</v>
      </c>
      <c r="N126" s="42">
        <v>0</v>
      </c>
      <c r="O126" s="43"/>
      <c r="P126" s="43">
        <v>0</v>
      </c>
      <c r="Q126" s="43"/>
      <c r="R126" s="43">
        <v>0</v>
      </c>
      <c r="S126" s="43"/>
      <c r="T126" s="43">
        <v>18000</v>
      </c>
      <c r="U126" s="43"/>
      <c r="V126" s="43">
        <v>0</v>
      </c>
      <c r="W126" s="43"/>
      <c r="X126" s="43">
        <v>19593.240000000002</v>
      </c>
      <c r="Y126" s="65"/>
      <c r="Z126" s="43">
        <v>22000</v>
      </c>
      <c r="AA126" s="65"/>
      <c r="AB126" s="54">
        <v>21936</v>
      </c>
      <c r="AC126" s="43"/>
      <c r="AD126" s="156">
        <v>24000</v>
      </c>
      <c r="AE126" s="5"/>
    </row>
    <row r="127" spans="1:31" x14ac:dyDescent="0.2">
      <c r="A127" s="55"/>
      <c r="B127" s="55"/>
      <c r="C127" s="56"/>
      <c r="D127" s="56" t="s">
        <v>85</v>
      </c>
      <c r="E127" s="56"/>
      <c r="F127" s="56"/>
      <c r="G127" s="40">
        <v>7475.95</v>
      </c>
      <c r="H127" s="41"/>
      <c r="I127" s="45">
        <v>4361.7299999999996</v>
      </c>
      <c r="J127" s="41"/>
      <c r="K127" s="42">
        <v>5500</v>
      </c>
      <c r="L127" s="41"/>
      <c r="M127" s="42">
        <v>2352.13</v>
      </c>
      <c r="N127" s="44">
        <v>0</v>
      </c>
      <c r="O127" s="43"/>
      <c r="P127" s="43">
        <v>556</v>
      </c>
      <c r="Q127" s="43"/>
      <c r="R127" s="43">
        <v>170</v>
      </c>
      <c r="S127" s="43"/>
      <c r="T127" s="43">
        <v>5500</v>
      </c>
      <c r="U127" s="43"/>
      <c r="V127" s="43">
        <v>7449</v>
      </c>
      <c r="W127" s="43"/>
      <c r="X127" s="43">
        <v>8002.1</v>
      </c>
      <c r="Y127" s="65"/>
      <c r="Z127" s="43">
        <v>7500</v>
      </c>
      <c r="AA127" s="65"/>
      <c r="AB127" s="54">
        <v>7025.32</v>
      </c>
      <c r="AC127" s="43"/>
      <c r="AD127" s="156">
        <v>9000</v>
      </c>
      <c r="AE127" s="5"/>
    </row>
    <row r="128" spans="1:31" x14ac:dyDescent="0.2">
      <c r="A128" s="55"/>
      <c r="B128" s="55"/>
      <c r="C128" s="56"/>
      <c r="D128" s="56" t="s">
        <v>86</v>
      </c>
      <c r="E128" s="56"/>
      <c r="F128" s="56"/>
      <c r="G128" s="40">
        <v>913.04</v>
      </c>
      <c r="H128" s="41"/>
      <c r="I128" s="45">
        <v>1852.2</v>
      </c>
      <c r="J128" s="41"/>
      <c r="K128" s="42">
        <v>3500</v>
      </c>
      <c r="L128" s="41"/>
      <c r="M128" s="42">
        <v>2783.2</v>
      </c>
      <c r="N128" s="42">
        <v>0</v>
      </c>
      <c r="O128" s="43"/>
      <c r="P128" s="43">
        <v>2783</v>
      </c>
      <c r="Q128" s="43"/>
      <c r="R128" s="43">
        <v>310.44</v>
      </c>
      <c r="S128" s="43"/>
      <c r="T128" s="43">
        <v>3500</v>
      </c>
      <c r="U128" s="43"/>
      <c r="V128" s="43">
        <v>5264</v>
      </c>
      <c r="W128" s="43"/>
      <c r="X128" s="43">
        <v>3275.98</v>
      </c>
      <c r="Y128" s="65"/>
      <c r="Z128" s="43">
        <v>8100</v>
      </c>
      <c r="AA128" s="65"/>
      <c r="AB128" s="54">
        <v>1151</v>
      </c>
      <c r="AC128" s="43"/>
      <c r="AD128" s="156">
        <v>7000</v>
      </c>
      <c r="AE128" s="5"/>
    </row>
    <row r="129" spans="1:31" x14ac:dyDescent="0.2">
      <c r="A129" s="55"/>
      <c r="B129" s="55"/>
      <c r="C129" s="56"/>
      <c r="D129" s="56" t="s">
        <v>87</v>
      </c>
      <c r="E129" s="56"/>
      <c r="F129" s="56"/>
      <c r="G129" s="40">
        <v>2190.12</v>
      </c>
      <c r="H129" s="41"/>
      <c r="I129" s="45">
        <v>1678.6</v>
      </c>
      <c r="J129" s="41"/>
      <c r="K129" s="42">
        <v>3200</v>
      </c>
      <c r="L129" s="41"/>
      <c r="M129" s="42">
        <v>2598.16</v>
      </c>
      <c r="N129" s="42">
        <v>0</v>
      </c>
      <c r="O129" s="43"/>
      <c r="P129" s="43">
        <v>1750</v>
      </c>
      <c r="Q129" s="43"/>
      <c r="R129" s="43">
        <v>978.6</v>
      </c>
      <c r="S129" s="43"/>
      <c r="T129" s="43">
        <v>3150</v>
      </c>
      <c r="U129" s="43"/>
      <c r="V129" s="43">
        <v>1750</v>
      </c>
      <c r="W129" s="43"/>
      <c r="X129" s="43">
        <v>1050</v>
      </c>
      <c r="Y129" s="65"/>
      <c r="Z129" s="43">
        <v>3700</v>
      </c>
      <c r="AA129" s="65"/>
      <c r="AB129" s="54">
        <v>2466</v>
      </c>
      <c r="AC129" s="43"/>
      <c r="AD129" s="156">
        <v>6850</v>
      </c>
      <c r="AE129" s="5"/>
    </row>
    <row r="130" spans="1:31" x14ac:dyDescent="0.2">
      <c r="A130" s="55"/>
      <c r="B130" s="55"/>
      <c r="C130" s="56"/>
      <c r="D130" s="56" t="s">
        <v>88</v>
      </c>
      <c r="E130" s="56"/>
      <c r="F130" s="56"/>
      <c r="G130" s="40">
        <v>2874.6</v>
      </c>
      <c r="H130" s="41"/>
      <c r="I130" s="60">
        <v>3385.78</v>
      </c>
      <c r="J130" s="41"/>
      <c r="K130" s="42">
        <v>4200</v>
      </c>
      <c r="L130" s="41"/>
      <c r="M130" s="58">
        <v>4598.8</v>
      </c>
      <c r="N130" s="42">
        <v>0</v>
      </c>
      <c r="O130" s="43"/>
      <c r="P130" s="43">
        <v>3688</v>
      </c>
      <c r="Q130" s="43"/>
      <c r="R130" s="43">
        <v>990.97</v>
      </c>
      <c r="S130" s="43"/>
      <c r="T130" s="59">
        <v>5400</v>
      </c>
      <c r="U130" s="43"/>
      <c r="V130" s="59">
        <v>3937.25</v>
      </c>
      <c r="W130" s="43"/>
      <c r="X130" s="59">
        <v>4159.41</v>
      </c>
      <c r="Y130" s="79"/>
      <c r="Z130" s="59">
        <v>8850</v>
      </c>
      <c r="AA130" s="79"/>
      <c r="AB130" s="61">
        <v>722.76</v>
      </c>
      <c r="AC130" s="59"/>
      <c r="AD130" s="158">
        <f>8850+1400</f>
        <v>10250</v>
      </c>
      <c r="AE130" s="5"/>
    </row>
    <row r="131" spans="1:31" s="1" customFormat="1" x14ac:dyDescent="0.2">
      <c r="A131" s="141"/>
      <c r="B131" s="141"/>
      <c r="C131" s="142" t="s">
        <v>89</v>
      </c>
      <c r="D131" s="142"/>
      <c r="E131" s="142"/>
      <c r="F131" s="142"/>
      <c r="G131" s="46">
        <f>ROUND(SUM(G123:G130),5)</f>
        <v>24949.98</v>
      </c>
      <c r="H131" s="48"/>
      <c r="I131" s="46">
        <f>ROUND(SUM(I123:I130),5)</f>
        <v>34389.879999999997</v>
      </c>
      <c r="J131" s="48"/>
      <c r="K131" s="46">
        <f>ROUND(SUM(K123:K130),5)</f>
        <v>40290</v>
      </c>
      <c r="L131" s="48"/>
      <c r="M131" s="46">
        <f>ROUND(SUM(M123:M130),5)</f>
        <v>43200.4</v>
      </c>
      <c r="N131" s="46">
        <f>ROUND(SUM(N123:N130),5)</f>
        <v>0</v>
      </c>
      <c r="O131" s="65"/>
      <c r="P131" s="46">
        <f>ROUND(SUM(P123:P130),5)</f>
        <v>12284</v>
      </c>
      <c r="Q131" s="65"/>
      <c r="R131" s="65"/>
      <c r="S131" s="65"/>
      <c r="T131" s="46">
        <f>ROUND(SUM(T123:T130),5)</f>
        <v>42090</v>
      </c>
      <c r="U131" s="46"/>
      <c r="V131" s="46">
        <f>ROUND(SUM(V123:V130),5)</f>
        <v>26042.080000000002</v>
      </c>
      <c r="W131" s="46"/>
      <c r="X131" s="46">
        <f>ROUND(SUM(X123:X130),5)</f>
        <v>41304.18</v>
      </c>
      <c r="Y131" s="46"/>
      <c r="Z131" s="46">
        <f>ROUND(SUM(Z123:Z130),5)</f>
        <v>57450</v>
      </c>
      <c r="AA131" s="46"/>
      <c r="AB131" s="46">
        <f>ROUND(SUM(AB123:AB130),5)</f>
        <v>36901.99</v>
      </c>
      <c r="AC131" s="46"/>
      <c r="AD131" s="166">
        <f>ROUND(SUM(AD123:AD130),5)</f>
        <v>64400</v>
      </c>
      <c r="AE131" s="68"/>
    </row>
    <row r="132" spans="1:31" s="103" customFormat="1" x14ac:dyDescent="0.2">
      <c r="A132" s="55"/>
      <c r="B132" s="55"/>
      <c r="C132" s="56"/>
      <c r="D132" s="56"/>
      <c r="E132" s="56"/>
      <c r="F132" s="56"/>
      <c r="G132" s="45"/>
      <c r="H132" s="41"/>
      <c r="I132" s="45"/>
      <c r="J132" s="41"/>
      <c r="K132" s="45"/>
      <c r="L132" s="41"/>
      <c r="M132" s="45"/>
      <c r="N132" s="45"/>
      <c r="O132" s="43"/>
      <c r="P132" s="45"/>
      <c r="Q132" s="43"/>
      <c r="R132" s="43"/>
      <c r="S132" s="43"/>
      <c r="T132" s="45"/>
      <c r="U132" s="45"/>
      <c r="V132" s="45"/>
      <c r="W132" s="45"/>
      <c r="X132" s="45"/>
      <c r="Y132" s="46"/>
      <c r="Z132" s="43"/>
      <c r="AA132" s="46"/>
      <c r="AB132" s="45"/>
      <c r="AC132" s="45"/>
      <c r="AD132" s="166"/>
      <c r="AE132" s="54"/>
    </row>
    <row r="133" spans="1:31" ht="20.100000000000001" customHeight="1" x14ac:dyDescent="0.2">
      <c r="A133" s="55"/>
      <c r="B133" s="55"/>
      <c r="C133" s="56" t="s">
        <v>90</v>
      </c>
      <c r="D133" s="56"/>
      <c r="E133" s="56"/>
      <c r="F133" s="56"/>
      <c r="G133" s="40"/>
      <c r="H133" s="41"/>
      <c r="I133" s="42"/>
      <c r="J133" s="41"/>
      <c r="K133" s="41"/>
      <c r="L133" s="41"/>
      <c r="M133" s="42"/>
      <c r="N133" s="42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65"/>
      <c r="Z133" s="43"/>
      <c r="AA133" s="65"/>
      <c r="AB133" s="43"/>
      <c r="AC133" s="43"/>
      <c r="AD133" s="156"/>
      <c r="AE133" s="5"/>
    </row>
    <row r="134" spans="1:31" s="86" customFormat="1" ht="12" customHeight="1" x14ac:dyDescent="0.2">
      <c r="A134" s="55"/>
      <c r="B134" s="55"/>
      <c r="C134" s="56"/>
      <c r="D134" s="56" t="s">
        <v>177</v>
      </c>
      <c r="E134" s="56"/>
      <c r="F134" s="56"/>
      <c r="G134" s="40"/>
      <c r="H134" s="41"/>
      <c r="I134" s="42">
        <v>0</v>
      </c>
      <c r="J134" s="41"/>
      <c r="K134" s="41"/>
      <c r="L134" s="41"/>
      <c r="M134" s="42">
        <v>0</v>
      </c>
      <c r="N134" s="42"/>
      <c r="O134" s="43"/>
      <c r="P134" s="43"/>
      <c r="Q134" s="43"/>
      <c r="R134" s="43"/>
      <c r="S134" s="43"/>
      <c r="T134" s="43">
        <v>0</v>
      </c>
      <c r="U134" s="43"/>
      <c r="V134" s="43">
        <v>169</v>
      </c>
      <c r="W134" s="43"/>
      <c r="X134" s="43">
        <v>113</v>
      </c>
      <c r="Y134" s="65"/>
      <c r="Z134" s="43">
        <v>150</v>
      </c>
      <c r="AA134" s="65"/>
      <c r="AB134" s="43">
        <v>73</v>
      </c>
      <c r="AC134" s="43"/>
      <c r="AD134" s="156">
        <v>150</v>
      </c>
      <c r="AE134" s="5"/>
    </row>
    <row r="135" spans="1:31" x14ac:dyDescent="0.2">
      <c r="A135" s="55"/>
      <c r="B135" s="55"/>
      <c r="C135" s="56"/>
      <c r="D135" s="56" t="s">
        <v>91</v>
      </c>
      <c r="E135" s="56"/>
      <c r="F135" s="56"/>
      <c r="G135" s="40">
        <f>10633+117</f>
        <v>10750</v>
      </c>
      <c r="H135" s="41"/>
      <c r="I135" s="45">
        <v>1645</v>
      </c>
      <c r="J135" s="41"/>
      <c r="K135" s="42">
        <v>8000</v>
      </c>
      <c r="L135" s="41"/>
      <c r="M135" s="42">
        <f>1692+248</f>
        <v>1940</v>
      </c>
      <c r="N135" s="42">
        <v>0</v>
      </c>
      <c r="O135" s="43"/>
      <c r="P135" s="43">
        <v>1087</v>
      </c>
      <c r="Q135" s="43"/>
      <c r="R135" s="43">
        <v>610</v>
      </c>
      <c r="S135" s="43"/>
      <c r="T135" s="43">
        <v>1800</v>
      </c>
      <c r="U135" s="43"/>
      <c r="V135" s="43">
        <v>106</v>
      </c>
      <c r="W135" s="43"/>
      <c r="X135" s="43">
        <v>1982</v>
      </c>
      <c r="Y135" s="65"/>
      <c r="Z135" s="43">
        <v>1500</v>
      </c>
      <c r="AA135" s="65"/>
      <c r="AB135" s="43">
        <v>427</v>
      </c>
      <c r="AC135" s="43"/>
      <c r="AD135" s="156">
        <v>1000</v>
      </c>
      <c r="AE135" s="5"/>
    </row>
    <row r="136" spans="1:31" x14ac:dyDescent="0.2">
      <c r="A136" s="55"/>
      <c r="B136" s="55"/>
      <c r="C136" s="56"/>
      <c r="D136" s="56" t="s">
        <v>92</v>
      </c>
      <c r="E136" s="56"/>
      <c r="F136" s="56"/>
      <c r="G136" s="40">
        <v>3200</v>
      </c>
      <c r="H136" s="41"/>
      <c r="I136" s="45">
        <v>5950</v>
      </c>
      <c r="J136" s="41"/>
      <c r="K136" s="42">
        <v>5900</v>
      </c>
      <c r="L136" s="41"/>
      <c r="M136" s="42">
        <v>4150</v>
      </c>
      <c r="N136" s="42">
        <v>0</v>
      </c>
      <c r="O136" s="43"/>
      <c r="P136" s="43">
        <v>4150</v>
      </c>
      <c r="Q136" s="43"/>
      <c r="R136" s="43">
        <v>-150</v>
      </c>
      <c r="S136" s="43"/>
      <c r="T136" s="54">
        <f>SUM(5*300)+(8*100)+(9*200)+(12*150)</f>
        <v>5900</v>
      </c>
      <c r="U136" s="54"/>
      <c r="V136" s="54">
        <v>6650</v>
      </c>
      <c r="W136" s="54"/>
      <c r="X136" s="43">
        <v>5400</v>
      </c>
      <c r="Y136" s="65"/>
      <c r="Z136" s="43">
        <v>4900</v>
      </c>
      <c r="AA136" s="65"/>
      <c r="AB136" s="43">
        <v>700</v>
      </c>
      <c r="AC136" s="54"/>
      <c r="AD136" s="156">
        <f>SUM(7*100)+(12*200)+(200*6)</f>
        <v>4300</v>
      </c>
      <c r="AE136" s="125" t="s">
        <v>230</v>
      </c>
    </row>
    <row r="137" spans="1:31" x14ac:dyDescent="0.2">
      <c r="A137" s="55"/>
      <c r="B137" s="55"/>
      <c r="C137" s="56"/>
      <c r="D137" s="56" t="s">
        <v>93</v>
      </c>
      <c r="E137" s="56"/>
      <c r="F137" s="56"/>
      <c r="G137" s="40">
        <v>2558.3000000000002</v>
      </c>
      <c r="H137" s="41"/>
      <c r="I137" s="45">
        <v>1145.2</v>
      </c>
      <c r="J137" s="41"/>
      <c r="K137" s="42">
        <v>5000</v>
      </c>
      <c r="L137" s="41"/>
      <c r="M137" s="42">
        <v>2008.6</v>
      </c>
      <c r="N137" s="42">
        <v>0</v>
      </c>
      <c r="O137" s="43"/>
      <c r="P137" s="43">
        <v>949</v>
      </c>
      <c r="Q137" s="43"/>
      <c r="R137" s="43">
        <v>0</v>
      </c>
      <c r="S137" s="43"/>
      <c r="T137" s="54">
        <v>2200</v>
      </c>
      <c r="U137" s="68"/>
      <c r="V137" s="54">
        <v>1372</v>
      </c>
      <c r="W137" s="68"/>
      <c r="X137" s="43">
        <v>2786.78</v>
      </c>
      <c r="Y137" s="65"/>
      <c r="Z137" s="43">
        <v>3500</v>
      </c>
      <c r="AA137" s="65"/>
      <c r="AB137" s="43">
        <v>744.4</v>
      </c>
      <c r="AC137" s="54"/>
      <c r="AD137" s="156">
        <v>5000</v>
      </c>
      <c r="AE137" s="5"/>
    </row>
    <row r="138" spans="1:31" x14ac:dyDescent="0.2">
      <c r="A138" s="55"/>
      <c r="B138" s="55"/>
      <c r="C138" s="56"/>
      <c r="D138" s="56" t="s">
        <v>94</v>
      </c>
      <c r="E138" s="56"/>
      <c r="F138" s="56"/>
      <c r="G138" s="40">
        <v>0</v>
      </c>
      <c r="H138" s="41"/>
      <c r="I138" s="45">
        <v>0</v>
      </c>
      <c r="J138" s="41"/>
      <c r="K138" s="42">
        <v>0</v>
      </c>
      <c r="L138" s="41"/>
      <c r="M138" s="42">
        <v>0</v>
      </c>
      <c r="N138" s="42"/>
      <c r="O138" s="43"/>
      <c r="P138" s="43">
        <v>0</v>
      </c>
      <c r="Q138" s="43"/>
      <c r="R138" s="43">
        <v>0</v>
      </c>
      <c r="S138" s="43"/>
      <c r="T138" s="43">
        <v>0</v>
      </c>
      <c r="U138" s="43"/>
      <c r="V138" s="43"/>
      <c r="W138" s="43"/>
      <c r="X138" s="43"/>
      <c r="Y138" s="65"/>
      <c r="Z138" s="133"/>
      <c r="AA138" s="65"/>
      <c r="AB138" s="43"/>
      <c r="AC138" s="43"/>
      <c r="AD138" s="156"/>
      <c r="AE138" s="5"/>
    </row>
    <row r="139" spans="1:31" x14ac:dyDescent="0.2">
      <c r="A139" s="55"/>
      <c r="B139" s="55"/>
      <c r="C139" s="56"/>
      <c r="D139" s="56"/>
      <c r="E139" s="56" t="s">
        <v>95</v>
      </c>
      <c r="F139" s="56"/>
      <c r="G139" s="40">
        <v>3271.67</v>
      </c>
      <c r="H139" s="41"/>
      <c r="I139" s="45">
        <v>2954.9</v>
      </c>
      <c r="J139" s="41"/>
      <c r="K139" s="42">
        <v>2500</v>
      </c>
      <c r="L139" s="41"/>
      <c r="M139" s="42">
        <v>1138.52</v>
      </c>
      <c r="N139" s="42">
        <v>0</v>
      </c>
      <c r="O139" s="43"/>
      <c r="P139" s="43">
        <v>743</v>
      </c>
      <c r="Q139" s="43"/>
      <c r="R139" s="43">
        <v>665.31</v>
      </c>
      <c r="S139" s="43"/>
      <c r="T139" s="43">
        <v>1100</v>
      </c>
      <c r="U139" s="43"/>
      <c r="V139" s="43">
        <v>1483.13</v>
      </c>
      <c r="W139" s="43"/>
      <c r="X139" s="43">
        <v>1397.04</v>
      </c>
      <c r="Y139" s="65"/>
      <c r="Z139" s="43">
        <v>2200</v>
      </c>
      <c r="AA139" s="65"/>
      <c r="AB139" s="43">
        <v>1064.75</v>
      </c>
      <c r="AC139" s="43"/>
      <c r="AD139" s="156">
        <v>2000</v>
      </c>
      <c r="AE139" s="5"/>
    </row>
    <row r="140" spans="1:31" x14ac:dyDescent="0.2">
      <c r="A140" s="55"/>
      <c r="B140" s="55"/>
      <c r="C140" s="56"/>
      <c r="D140" s="56"/>
      <c r="E140" s="56" t="s">
        <v>96</v>
      </c>
      <c r="F140" s="56"/>
      <c r="G140" s="40">
        <v>7047.76</v>
      </c>
      <c r="H140" s="41"/>
      <c r="I140" s="45">
        <v>21108.67</v>
      </c>
      <c r="J140" s="41"/>
      <c r="K140" s="42">
        <v>12000</v>
      </c>
      <c r="L140" s="41"/>
      <c r="M140" s="42">
        <v>12471.99</v>
      </c>
      <c r="N140" s="44">
        <v>0</v>
      </c>
      <c r="O140" s="43"/>
      <c r="P140" s="43">
        <v>2472</v>
      </c>
      <c r="Q140" s="43"/>
      <c r="R140" s="43">
        <v>18078.400000000001</v>
      </c>
      <c r="S140" s="43"/>
      <c r="T140" s="43">
        <v>20000</v>
      </c>
      <c r="U140" s="43"/>
      <c r="V140" s="43">
        <v>2140.92</v>
      </c>
      <c r="W140" s="43"/>
      <c r="X140" s="43">
        <v>3073.84</v>
      </c>
      <c r="Y140" s="65"/>
      <c r="Z140" s="43">
        <v>5500</v>
      </c>
      <c r="AA140" s="65"/>
      <c r="AB140" s="43">
        <v>1129.6500000000001</v>
      </c>
      <c r="AC140" s="43"/>
      <c r="AD140" s="156">
        <v>6000</v>
      </c>
      <c r="AE140" s="5"/>
    </row>
    <row r="141" spans="1:31" x14ac:dyDescent="0.2">
      <c r="A141" s="55"/>
      <c r="B141" s="55"/>
      <c r="C141" s="56"/>
      <c r="D141" s="56"/>
      <c r="E141" s="56" t="s">
        <v>97</v>
      </c>
      <c r="F141" s="56"/>
      <c r="G141" s="57">
        <v>2175.92</v>
      </c>
      <c r="H141" s="41"/>
      <c r="I141" s="60">
        <v>1467.57</v>
      </c>
      <c r="J141" s="41"/>
      <c r="K141" s="58">
        <v>3000</v>
      </c>
      <c r="L141" s="41"/>
      <c r="M141" s="42">
        <v>1699.17</v>
      </c>
      <c r="N141" s="44">
        <v>0</v>
      </c>
      <c r="O141" s="43"/>
      <c r="P141" s="59">
        <v>1005</v>
      </c>
      <c r="Q141" s="43"/>
      <c r="R141" s="59">
        <v>433.29</v>
      </c>
      <c r="S141" s="43"/>
      <c r="T141" s="59">
        <v>1750</v>
      </c>
      <c r="U141" s="76"/>
      <c r="V141" s="76">
        <v>1117.06</v>
      </c>
      <c r="W141" s="76"/>
      <c r="X141" s="76">
        <v>1510.77</v>
      </c>
      <c r="Y141" s="79"/>
      <c r="Z141" s="76">
        <v>1750</v>
      </c>
      <c r="AA141" s="79"/>
      <c r="AB141" s="76">
        <v>797.53</v>
      </c>
      <c r="AC141" s="76"/>
      <c r="AD141" s="157">
        <v>1750</v>
      </c>
      <c r="AE141" s="5"/>
    </row>
    <row r="142" spans="1:31" hidden="1" x14ac:dyDescent="0.2">
      <c r="A142" s="55"/>
      <c r="B142" s="55"/>
      <c r="C142" s="56"/>
      <c r="D142" s="56"/>
      <c r="E142" s="56" t="s">
        <v>145</v>
      </c>
      <c r="F142" s="56"/>
      <c r="G142" s="40">
        <v>0</v>
      </c>
      <c r="H142" s="41"/>
      <c r="I142" s="45">
        <v>0</v>
      </c>
      <c r="J142" s="41"/>
      <c r="K142" s="42">
        <v>0</v>
      </c>
      <c r="L142" s="41"/>
      <c r="M142" s="42">
        <v>0</v>
      </c>
      <c r="N142" s="42">
        <v>0</v>
      </c>
      <c r="O142" s="43"/>
      <c r="P142" s="43">
        <v>0</v>
      </c>
      <c r="Q142" s="43"/>
      <c r="R142" s="43">
        <v>0</v>
      </c>
      <c r="S142" s="43"/>
      <c r="T142" s="43">
        <v>0</v>
      </c>
      <c r="U142" s="43"/>
      <c r="V142" s="76"/>
      <c r="W142" s="76"/>
      <c r="X142" s="76"/>
      <c r="Y142" s="79"/>
      <c r="Z142" s="76"/>
      <c r="AA142" s="79"/>
      <c r="AB142" s="76"/>
      <c r="AC142" s="76"/>
      <c r="AD142" s="157"/>
      <c r="AE142" s="5" t="s">
        <v>156</v>
      </c>
    </row>
    <row r="143" spans="1:31" ht="14.25" customHeight="1" x14ac:dyDescent="0.2">
      <c r="A143" s="55"/>
      <c r="B143" s="55"/>
      <c r="C143" s="56"/>
      <c r="D143" s="56" t="s">
        <v>98</v>
      </c>
      <c r="E143" s="56"/>
      <c r="F143" s="56"/>
      <c r="G143" s="40"/>
      <c r="H143" s="41"/>
      <c r="I143" s="42"/>
      <c r="J143" s="41"/>
      <c r="K143" s="42"/>
      <c r="L143" s="41"/>
      <c r="M143" s="42"/>
      <c r="N143" s="42"/>
      <c r="O143" s="43"/>
      <c r="P143" s="43"/>
      <c r="Q143" s="43"/>
      <c r="R143" s="43"/>
      <c r="S143" s="43"/>
      <c r="T143" s="43"/>
      <c r="U143" s="43"/>
      <c r="V143" s="76"/>
      <c r="W143" s="76"/>
      <c r="X143" s="76"/>
      <c r="Y143" s="79"/>
      <c r="Z143" s="76">
        <v>0</v>
      </c>
      <c r="AA143" s="79"/>
      <c r="AB143" s="76"/>
      <c r="AC143" s="76"/>
      <c r="AD143" s="157"/>
      <c r="AE143" s="5"/>
    </row>
    <row r="144" spans="1:31" x14ac:dyDescent="0.2">
      <c r="A144" s="55"/>
      <c r="B144" s="55"/>
      <c r="C144" s="56"/>
      <c r="D144" s="56"/>
      <c r="E144" s="56" t="s">
        <v>99</v>
      </c>
      <c r="F144" s="56"/>
      <c r="G144" s="40">
        <v>16254.38</v>
      </c>
      <c r="H144" s="41"/>
      <c r="I144" s="40">
        <v>14308.45</v>
      </c>
      <c r="J144" s="41"/>
      <c r="K144" s="42">
        <v>14500</v>
      </c>
      <c r="L144" s="41"/>
      <c r="M144" s="42">
        <v>12214.52</v>
      </c>
      <c r="N144" s="42">
        <v>0</v>
      </c>
      <c r="O144" s="43"/>
      <c r="P144" s="43">
        <v>0</v>
      </c>
      <c r="Q144" s="43"/>
      <c r="R144" s="43">
        <v>14308.45</v>
      </c>
      <c r="S144" s="43"/>
      <c r="T144" s="43">
        <f>1685*12</f>
        <v>20220</v>
      </c>
      <c r="U144" s="43"/>
      <c r="V144" s="43">
        <v>0</v>
      </c>
      <c r="W144" s="43"/>
      <c r="X144" s="43">
        <v>15746.6</v>
      </c>
      <c r="Y144" s="65"/>
      <c r="Z144" s="76">
        <v>23000</v>
      </c>
      <c r="AA144" s="65"/>
      <c r="AB144" s="43">
        <v>17186.29</v>
      </c>
      <c r="AC144" s="43"/>
      <c r="AD144" s="156">
        <f>SUM(500+175+400+100)*15</f>
        <v>17625</v>
      </c>
      <c r="AE144" s="74" t="s">
        <v>235</v>
      </c>
    </row>
    <row r="145" spans="1:31" hidden="1" x14ac:dyDescent="0.2">
      <c r="A145" s="55"/>
      <c r="B145" s="55"/>
      <c r="C145" s="56"/>
      <c r="D145" s="56"/>
      <c r="E145" s="56" t="s">
        <v>100</v>
      </c>
      <c r="F145" s="56"/>
      <c r="G145" s="40">
        <v>615.88</v>
      </c>
      <c r="H145" s="41"/>
      <c r="I145" s="40">
        <v>0</v>
      </c>
      <c r="J145" s="41"/>
      <c r="K145" s="42">
        <v>1000</v>
      </c>
      <c r="L145" s="41"/>
      <c r="M145" s="42">
        <v>0</v>
      </c>
      <c r="N145" s="42">
        <v>0</v>
      </c>
      <c r="O145" s="43"/>
      <c r="P145" s="43">
        <v>0</v>
      </c>
      <c r="Q145" s="43"/>
      <c r="R145" s="43">
        <v>0</v>
      </c>
      <c r="S145" s="43"/>
      <c r="T145" s="43">
        <v>0</v>
      </c>
      <c r="U145" s="43"/>
      <c r="V145" s="43">
        <v>0</v>
      </c>
      <c r="W145" s="43"/>
      <c r="X145" s="43">
        <v>0</v>
      </c>
      <c r="Y145" s="65"/>
      <c r="Z145" s="40"/>
      <c r="AA145" s="65"/>
      <c r="AB145" s="43">
        <v>0</v>
      </c>
      <c r="AC145" s="43"/>
      <c r="AD145" s="156">
        <v>0</v>
      </c>
      <c r="AE145" s="5"/>
    </row>
    <row r="146" spans="1:31" x14ac:dyDescent="0.2">
      <c r="A146" s="55"/>
      <c r="B146" s="55"/>
      <c r="C146" s="56"/>
      <c r="D146" s="56"/>
      <c r="E146" s="56" t="s">
        <v>101</v>
      </c>
      <c r="F146" s="56"/>
      <c r="G146" s="57">
        <v>2195.08</v>
      </c>
      <c r="H146" s="41"/>
      <c r="I146" s="57">
        <v>1793.9</v>
      </c>
      <c r="J146" s="41"/>
      <c r="K146" s="58">
        <v>2500</v>
      </c>
      <c r="L146" s="41"/>
      <c r="M146" s="58">
        <v>1163.75</v>
      </c>
      <c r="N146" s="42">
        <v>0</v>
      </c>
      <c r="O146" s="43"/>
      <c r="P146" s="59">
        <v>0</v>
      </c>
      <c r="Q146" s="43"/>
      <c r="R146" s="59">
        <v>1793.9</v>
      </c>
      <c r="S146" s="43"/>
      <c r="T146" s="59">
        <f>1685*2</f>
        <v>3370</v>
      </c>
      <c r="U146" s="76"/>
      <c r="V146" s="59">
        <v>0</v>
      </c>
      <c r="W146" s="76"/>
      <c r="X146" s="59">
        <v>2043.32</v>
      </c>
      <c r="Y146" s="79"/>
      <c r="Z146" s="57">
        <v>3350</v>
      </c>
      <c r="AA146" s="79"/>
      <c r="AB146" s="59">
        <v>2641.32</v>
      </c>
      <c r="AC146" s="76"/>
      <c r="AD146" s="158">
        <f>SUM(170+500+400+200)*2</f>
        <v>2540</v>
      </c>
      <c r="AE146" s="5" t="s">
        <v>162</v>
      </c>
    </row>
    <row r="147" spans="1:31" s="1" customFormat="1" ht="15.75" customHeight="1" x14ac:dyDescent="0.2">
      <c r="A147" s="141"/>
      <c r="B147" s="141"/>
      <c r="C147" s="142" t="s">
        <v>102</v>
      </c>
      <c r="D147" s="142"/>
      <c r="E147" s="142"/>
      <c r="F147" s="142"/>
      <c r="G147" s="84" t="e">
        <f>ROUND(SUM(G135:G137)+#REF!+#REF!,5)</f>
        <v>#REF!</v>
      </c>
      <c r="H147" s="48"/>
      <c r="I147" s="84" t="e">
        <f>ROUND(SUM(#REF!+#REF!),5)</f>
        <v>#REF!</v>
      </c>
      <c r="J147" s="48"/>
      <c r="K147" s="84" t="e">
        <f>ROUND(SUM(#REF!+#REF!),5)</f>
        <v>#REF!</v>
      </c>
      <c r="L147" s="48"/>
      <c r="M147" s="84">
        <f>ROUND(SUM(M134:M146),5)</f>
        <v>36786.550000000003</v>
      </c>
      <c r="N147" s="46" t="e">
        <f>ROUND(SUM(N135:N137)+#REF!+#REF!,5)</f>
        <v>#REF!</v>
      </c>
      <c r="O147" s="65"/>
      <c r="P147" s="84" t="e">
        <f>ROUND(SUM(#REF!+#REF!),5)</f>
        <v>#REF!</v>
      </c>
      <c r="Q147" s="65"/>
      <c r="R147" s="84" t="e">
        <f>ROUND(SUM(#REF!+#REF!),5)</f>
        <v>#REF!</v>
      </c>
      <c r="S147" s="65"/>
      <c r="T147" s="84" t="e">
        <f>ROUND(SUM(#REF!+#REF!),5)</f>
        <v>#REF!</v>
      </c>
      <c r="U147" s="84"/>
      <c r="V147" s="84">
        <f>ROUND(SUM(V134:V146),5)</f>
        <v>13038.11</v>
      </c>
      <c r="W147" s="84"/>
      <c r="X147" s="84">
        <f>ROUND(SUM(X134:X146),5)</f>
        <v>34053.35</v>
      </c>
      <c r="Y147" s="84"/>
      <c r="Z147" s="84">
        <f>ROUND(SUM(Z134:Z146),5)</f>
        <v>45850</v>
      </c>
      <c r="AA147" s="84"/>
      <c r="AB147" s="84">
        <f>ROUND(SUM(AB134:AB146),5)</f>
        <v>24763.94</v>
      </c>
      <c r="AC147" s="84"/>
      <c r="AD147" s="162">
        <f>ROUND(SUM(AD134:AD146),5)</f>
        <v>40365</v>
      </c>
      <c r="AE147" s="68"/>
    </row>
    <row r="148" spans="1:31" ht="20.100000000000001" customHeight="1" x14ac:dyDescent="0.2">
      <c r="A148" s="55"/>
      <c r="B148" s="55"/>
      <c r="C148" s="56" t="s">
        <v>103</v>
      </c>
      <c r="D148" s="56"/>
      <c r="E148" s="56"/>
      <c r="F148" s="56"/>
      <c r="G148" s="40"/>
      <c r="H148" s="41"/>
      <c r="I148" s="41"/>
      <c r="J148" s="41"/>
      <c r="K148" s="41"/>
      <c r="L148" s="41"/>
      <c r="M148" s="42"/>
      <c r="N148" s="42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65"/>
      <c r="Z148" s="43"/>
      <c r="AA148" s="65"/>
      <c r="AB148" s="43"/>
      <c r="AC148" s="43"/>
      <c r="AD148" s="156"/>
      <c r="AE148" s="5"/>
    </row>
    <row r="149" spans="1:31" x14ac:dyDescent="0.2">
      <c r="A149" s="55"/>
      <c r="B149" s="55"/>
      <c r="C149" s="56"/>
      <c r="D149" s="56" t="s">
        <v>104</v>
      </c>
      <c r="E149" s="56"/>
      <c r="F149" s="56"/>
      <c r="G149" s="40">
        <v>619.75</v>
      </c>
      <c r="H149" s="41"/>
      <c r="I149" s="40">
        <f>240+100+100</f>
        <v>440</v>
      </c>
      <c r="J149" s="41"/>
      <c r="K149" s="41">
        <v>600</v>
      </c>
      <c r="L149" s="41"/>
      <c r="M149" s="42">
        <v>1647.32</v>
      </c>
      <c r="N149" s="42">
        <f>240+100+100</f>
        <v>440</v>
      </c>
      <c r="O149" s="43"/>
      <c r="P149" s="43">
        <v>460</v>
      </c>
      <c r="Q149" s="43"/>
      <c r="R149" s="43">
        <v>229.8</v>
      </c>
      <c r="S149" s="43"/>
      <c r="T149" s="43">
        <v>300</v>
      </c>
      <c r="U149" s="43"/>
      <c r="V149" s="43">
        <v>609.6</v>
      </c>
      <c r="W149" s="43"/>
      <c r="X149" s="43">
        <v>4566.1499999999996</v>
      </c>
      <c r="Y149" s="65"/>
      <c r="Z149" s="76">
        <v>840</v>
      </c>
      <c r="AA149" s="65"/>
      <c r="AB149" s="43">
        <v>3286.6</v>
      </c>
      <c r="AC149" s="43"/>
      <c r="AD149" s="156">
        <f>SUM((20*12)+(300*4))</f>
        <v>1440</v>
      </c>
      <c r="AE149" s="5"/>
    </row>
    <row r="150" spans="1:31" x14ac:dyDescent="0.2">
      <c r="A150" s="55"/>
      <c r="B150" s="55"/>
      <c r="C150" s="56"/>
      <c r="D150" s="56" t="s">
        <v>163</v>
      </c>
      <c r="E150" s="56"/>
      <c r="F150" s="56"/>
      <c r="G150" s="57">
        <v>0</v>
      </c>
      <c r="H150" s="41" t="s">
        <v>148</v>
      </c>
      <c r="I150" s="60">
        <v>0</v>
      </c>
      <c r="J150" s="41"/>
      <c r="K150" s="72">
        <v>0</v>
      </c>
      <c r="L150" s="41"/>
      <c r="M150" s="58">
        <v>0</v>
      </c>
      <c r="N150" s="42">
        <v>0</v>
      </c>
      <c r="O150" s="43"/>
      <c r="P150" s="43">
        <v>0</v>
      </c>
      <c r="Q150" s="43"/>
      <c r="R150" s="43">
        <v>0</v>
      </c>
      <c r="S150" s="43"/>
      <c r="T150" s="59">
        <v>2500</v>
      </c>
      <c r="U150" s="76"/>
      <c r="V150" s="59">
        <v>75</v>
      </c>
      <c r="W150" s="76"/>
      <c r="X150" s="59">
        <v>0</v>
      </c>
      <c r="Y150" s="79"/>
      <c r="Z150" s="60">
        <v>1500</v>
      </c>
      <c r="AA150" s="79"/>
      <c r="AB150" s="61">
        <v>95</v>
      </c>
      <c r="AC150" s="76"/>
      <c r="AD150" s="158">
        <v>2500</v>
      </c>
      <c r="AE150" s="31"/>
    </row>
    <row r="151" spans="1:31" hidden="1" x14ac:dyDescent="0.2">
      <c r="A151" s="55"/>
      <c r="B151" s="55"/>
      <c r="C151" s="56"/>
      <c r="D151" s="56" t="s">
        <v>105</v>
      </c>
      <c r="E151" s="56"/>
      <c r="F151" s="56"/>
      <c r="G151" s="40">
        <v>12910</v>
      </c>
      <c r="H151" s="41"/>
      <c r="I151" s="45"/>
      <c r="J151" s="41"/>
      <c r="K151" s="41"/>
      <c r="L151" s="41"/>
      <c r="M151" s="42">
        <v>0</v>
      </c>
      <c r="N151" s="42">
        <v>0</v>
      </c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65"/>
      <c r="Z151" s="43"/>
      <c r="AA151" s="65"/>
      <c r="AB151" s="43"/>
      <c r="AC151" s="43"/>
      <c r="AD151" s="156"/>
      <c r="AE151" s="5"/>
    </row>
    <row r="152" spans="1:31" s="1" customFormat="1" x14ac:dyDescent="0.2">
      <c r="A152" s="141"/>
      <c r="B152" s="141"/>
      <c r="C152" s="142" t="s">
        <v>106</v>
      </c>
      <c r="D152" s="142"/>
      <c r="E152" s="142"/>
      <c r="F152" s="142"/>
      <c r="G152" s="84">
        <f>ROUND(SUM(G149:G151),5)</f>
        <v>13529.75</v>
      </c>
      <c r="H152" s="48"/>
      <c r="I152" s="84">
        <f>ROUND(SUM(I149:I151),5)</f>
        <v>440</v>
      </c>
      <c r="J152" s="48"/>
      <c r="K152" s="48">
        <v>600</v>
      </c>
      <c r="L152" s="48"/>
      <c r="M152" s="46">
        <f>ROUND(SUM(M149:M151),5)</f>
        <v>1647.32</v>
      </c>
      <c r="N152" s="46">
        <f>ROUND(SUM(N149:N151),5)</f>
        <v>440</v>
      </c>
      <c r="O152" s="65"/>
      <c r="P152" s="46">
        <f>ROUND(SUM(P149:P151),5)</f>
        <v>460</v>
      </c>
      <c r="Q152" s="65"/>
      <c r="R152" s="46"/>
      <c r="S152" s="65"/>
      <c r="T152" s="46">
        <f>ROUND(SUM(T149:T151),5)</f>
        <v>2800</v>
      </c>
      <c r="U152" s="46"/>
      <c r="V152" s="46">
        <f>ROUND(SUM(V149:V151),5)</f>
        <v>684.6</v>
      </c>
      <c r="W152" s="46"/>
      <c r="X152" s="46">
        <f>ROUND(SUM(X149:X151),5)</f>
        <v>4566.1499999999996</v>
      </c>
      <c r="Y152" s="46"/>
      <c r="Z152" s="46">
        <f>ROUND(SUM(Z149:Z151),5)</f>
        <v>2340</v>
      </c>
      <c r="AA152" s="46"/>
      <c r="AB152" s="46">
        <f>ROUND(SUM(AB149:AB151),5)</f>
        <v>3381.6</v>
      </c>
      <c r="AC152" s="46"/>
      <c r="AD152" s="166">
        <f>ROUND(SUM(AD149:AD151),5)</f>
        <v>3940</v>
      </c>
      <c r="AE152" s="31"/>
    </row>
    <row r="153" spans="1:31" ht="20.100000000000001" customHeight="1" x14ac:dyDescent="0.2">
      <c r="A153" s="55"/>
      <c r="B153" s="55"/>
      <c r="C153" s="56" t="s">
        <v>107</v>
      </c>
      <c r="D153" s="56"/>
      <c r="E153" s="56"/>
      <c r="F153" s="56"/>
      <c r="G153" s="40"/>
      <c r="H153" s="41"/>
      <c r="I153" s="41"/>
      <c r="J153" s="41"/>
      <c r="K153" s="41"/>
      <c r="L153" s="41"/>
      <c r="M153" s="42"/>
      <c r="N153" s="42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65"/>
      <c r="AA153" s="65"/>
      <c r="AB153" s="43"/>
      <c r="AC153" s="43"/>
      <c r="AD153" s="156"/>
      <c r="AE153" s="5"/>
    </row>
    <row r="154" spans="1:31" x14ac:dyDescent="0.2">
      <c r="A154" s="55"/>
      <c r="B154" s="55"/>
      <c r="C154" s="56"/>
      <c r="D154" s="56" t="s">
        <v>108</v>
      </c>
      <c r="E154" s="56"/>
      <c r="F154" s="56"/>
      <c r="G154" s="40">
        <v>5044.43</v>
      </c>
      <c r="H154" s="41"/>
      <c r="I154" s="40">
        <v>6094.67</v>
      </c>
      <c r="J154" s="41"/>
      <c r="K154" s="41">
        <v>6180</v>
      </c>
      <c r="L154" s="41"/>
      <c r="M154" s="42">
        <v>6438.94</v>
      </c>
      <c r="N154" s="42">
        <v>0</v>
      </c>
      <c r="O154" s="43"/>
      <c r="P154" s="43">
        <v>4442</v>
      </c>
      <c r="Q154" s="43"/>
      <c r="R154" s="43">
        <v>1927.47</v>
      </c>
      <c r="S154" s="43"/>
      <c r="T154" s="43">
        <v>6400</v>
      </c>
      <c r="U154" s="43"/>
      <c r="V154" s="43">
        <v>4145.55</v>
      </c>
      <c r="W154" s="43"/>
      <c r="X154" s="43">
        <v>6449.08</v>
      </c>
      <c r="Y154" s="65"/>
      <c r="Z154" s="43">
        <v>6400</v>
      </c>
      <c r="AA154" s="79"/>
      <c r="AB154" s="3">
        <v>2725.24</v>
      </c>
      <c r="AC154" s="43"/>
      <c r="AD154" s="156">
        <v>6400</v>
      </c>
    </row>
    <row r="155" spans="1:31" x14ac:dyDescent="0.2">
      <c r="A155" s="55"/>
      <c r="B155" s="55"/>
      <c r="C155" s="56"/>
      <c r="D155" s="56" t="s">
        <v>109</v>
      </c>
      <c r="E155" s="56"/>
      <c r="F155" s="56"/>
      <c r="G155" s="40">
        <v>1197.69</v>
      </c>
      <c r="H155" s="41"/>
      <c r="I155" s="40">
        <v>1575.11</v>
      </c>
      <c r="J155" s="41"/>
      <c r="K155" s="41">
        <v>1145</v>
      </c>
      <c r="L155" s="41"/>
      <c r="M155" s="42">
        <v>1769.74</v>
      </c>
      <c r="N155" s="42">
        <v>0</v>
      </c>
      <c r="O155" s="43"/>
      <c r="P155" s="43">
        <v>1204</v>
      </c>
      <c r="Q155" s="43"/>
      <c r="R155" s="43">
        <v>492.63</v>
      </c>
      <c r="S155" s="43"/>
      <c r="T155" s="43">
        <v>2000</v>
      </c>
      <c r="U155" s="43"/>
      <c r="V155" s="43">
        <v>1250.27</v>
      </c>
      <c r="W155" s="43"/>
      <c r="X155" s="43">
        <v>1720.43</v>
      </c>
      <c r="Y155" s="65"/>
      <c r="Z155" s="43">
        <v>2000</v>
      </c>
      <c r="AA155" s="65"/>
      <c r="AB155" s="3">
        <v>1361.71</v>
      </c>
      <c r="AC155" s="43"/>
      <c r="AD155" s="156">
        <v>2000</v>
      </c>
    </row>
    <row r="156" spans="1:31" x14ac:dyDescent="0.2">
      <c r="A156" s="55"/>
      <c r="B156" s="55"/>
      <c r="C156" s="56"/>
      <c r="D156" s="56" t="s">
        <v>110</v>
      </c>
      <c r="E156" s="56"/>
      <c r="F156" s="56"/>
      <c r="G156" s="40">
        <v>4466.87</v>
      </c>
      <c r="H156" s="41"/>
      <c r="I156" s="40">
        <v>4663.66</v>
      </c>
      <c r="J156" s="41"/>
      <c r="K156" s="41">
        <v>5135</v>
      </c>
      <c r="L156" s="41"/>
      <c r="M156" s="42">
        <v>5495.73</v>
      </c>
      <c r="N156" s="42">
        <v>0</v>
      </c>
      <c r="O156" s="43"/>
      <c r="P156" s="43">
        <v>2670</v>
      </c>
      <c r="Q156" s="43"/>
      <c r="R156" s="43">
        <v>733.65</v>
      </c>
      <c r="S156" s="43"/>
      <c r="T156" s="43">
        <v>4800</v>
      </c>
      <c r="U156" s="43"/>
      <c r="V156" s="43">
        <v>2283.63</v>
      </c>
      <c r="W156" s="43"/>
      <c r="X156" s="43">
        <v>5174.22</v>
      </c>
      <c r="Y156" s="65"/>
      <c r="Z156" s="43">
        <v>6250</v>
      </c>
      <c r="AA156" s="65"/>
      <c r="AB156" s="3">
        <v>1380.16</v>
      </c>
      <c r="AC156" s="43"/>
      <c r="AD156" s="156">
        <v>6250</v>
      </c>
    </row>
    <row r="157" spans="1:31" x14ac:dyDescent="0.2">
      <c r="A157" s="55"/>
      <c r="B157" s="55"/>
      <c r="C157" s="56"/>
      <c r="D157" s="56" t="s">
        <v>111</v>
      </c>
      <c r="E157" s="56"/>
      <c r="F157" s="56"/>
      <c r="G157" s="40">
        <v>4103.47</v>
      </c>
      <c r="H157" s="41"/>
      <c r="I157" s="40">
        <v>3885.35</v>
      </c>
      <c r="J157" s="41"/>
      <c r="K157" s="41">
        <v>4950</v>
      </c>
      <c r="L157" s="41"/>
      <c r="M157" s="42">
        <v>4925.13</v>
      </c>
      <c r="N157" s="42">
        <v>0</v>
      </c>
      <c r="O157" s="43"/>
      <c r="P157" s="43">
        <v>2031</v>
      </c>
      <c r="Q157" s="43"/>
      <c r="R157" s="43">
        <v>1674.26</v>
      </c>
      <c r="S157" s="43"/>
      <c r="T157" s="43">
        <v>5100</v>
      </c>
      <c r="U157" s="65"/>
      <c r="V157" s="43">
        <v>2372.41</v>
      </c>
      <c r="W157" s="65"/>
      <c r="X157" s="43">
        <v>2488.16</v>
      </c>
      <c r="Y157" s="65"/>
      <c r="Z157" s="43">
        <v>3500</v>
      </c>
      <c r="AA157" s="65"/>
      <c r="AB157" s="3">
        <v>1905.72</v>
      </c>
      <c r="AC157" s="43"/>
      <c r="AD157" s="156">
        <v>3500</v>
      </c>
    </row>
    <row r="158" spans="1:31" hidden="1" x14ac:dyDescent="0.2">
      <c r="A158" s="7"/>
      <c r="B158" s="7"/>
      <c r="C158" s="8"/>
      <c r="D158" s="8" t="s">
        <v>178</v>
      </c>
      <c r="E158" s="8"/>
      <c r="F158" s="8"/>
      <c r="G158" s="40">
        <v>0</v>
      </c>
      <c r="H158" s="41"/>
      <c r="I158" s="40">
        <v>0</v>
      </c>
      <c r="J158" s="41"/>
      <c r="K158" s="72">
        <v>0</v>
      </c>
      <c r="L158" s="41"/>
      <c r="M158" s="42">
        <v>9404.33</v>
      </c>
      <c r="N158" s="42"/>
      <c r="O158" s="43"/>
      <c r="P158" s="59">
        <v>9404.33</v>
      </c>
      <c r="Q158" s="43"/>
      <c r="R158" s="59">
        <v>0</v>
      </c>
      <c r="S158" s="43"/>
      <c r="T158" s="76">
        <v>10000</v>
      </c>
      <c r="U158" s="79"/>
      <c r="V158" s="76">
        <v>0</v>
      </c>
      <c r="W158" s="79"/>
      <c r="X158" s="76">
        <v>2797.05</v>
      </c>
      <c r="Y158" s="79"/>
      <c r="Z158" s="76">
        <v>0</v>
      </c>
      <c r="AA158" s="79"/>
      <c r="AB158" s="3"/>
      <c r="AC158" s="76"/>
      <c r="AD158" s="157">
        <v>0</v>
      </c>
      <c r="AE158" s="76"/>
    </row>
    <row r="159" spans="1:31" s="63" customFormat="1" ht="11.25" customHeight="1" x14ac:dyDescent="0.2">
      <c r="A159" s="55"/>
      <c r="B159" s="55"/>
      <c r="C159" s="56"/>
      <c r="D159" s="56" t="s">
        <v>112</v>
      </c>
      <c r="E159" s="56"/>
      <c r="F159" s="56"/>
      <c r="G159" s="40">
        <v>1024.42</v>
      </c>
      <c r="H159" s="41"/>
      <c r="I159" s="40">
        <v>405.8</v>
      </c>
      <c r="J159" s="41"/>
      <c r="K159" s="41">
        <v>1000</v>
      </c>
      <c r="L159" s="41"/>
      <c r="M159" s="42">
        <v>0</v>
      </c>
      <c r="N159" s="42">
        <v>0</v>
      </c>
      <c r="O159" s="43"/>
      <c r="P159" s="43">
        <v>0</v>
      </c>
      <c r="Q159" s="43"/>
      <c r="R159" s="43">
        <v>95.46</v>
      </c>
      <c r="S159" s="43"/>
      <c r="T159" s="43">
        <v>500</v>
      </c>
      <c r="U159" s="43"/>
      <c r="V159" s="43">
        <v>0</v>
      </c>
      <c r="W159" s="43"/>
      <c r="X159" s="43">
        <v>46.19</v>
      </c>
      <c r="Y159" s="65"/>
      <c r="Z159" s="43">
        <v>125</v>
      </c>
      <c r="AA159" s="65"/>
      <c r="AC159" s="43"/>
      <c r="AD159" s="156">
        <v>125</v>
      </c>
      <c r="AE159" s="3"/>
    </row>
    <row r="160" spans="1:31" x14ac:dyDescent="0.2">
      <c r="A160" s="55"/>
      <c r="B160" s="55"/>
      <c r="C160" s="56"/>
      <c r="D160" s="56" t="s">
        <v>179</v>
      </c>
      <c r="E160" s="56"/>
      <c r="F160" s="56"/>
      <c r="G160" s="40">
        <v>0</v>
      </c>
      <c r="H160" s="41"/>
      <c r="I160" s="40">
        <v>0</v>
      </c>
      <c r="J160" s="41"/>
      <c r="K160" s="41">
        <v>0</v>
      </c>
      <c r="L160" s="41"/>
      <c r="M160" s="42">
        <v>1991.29</v>
      </c>
      <c r="N160" s="42"/>
      <c r="O160" s="43"/>
      <c r="P160" s="43"/>
      <c r="Q160" s="43"/>
      <c r="R160" s="43"/>
      <c r="S160" s="43"/>
      <c r="T160" s="43">
        <v>0</v>
      </c>
      <c r="U160" s="43"/>
      <c r="V160" s="43">
        <v>0</v>
      </c>
      <c r="W160" s="43"/>
      <c r="X160" s="43">
        <v>1343.54</v>
      </c>
      <c r="Y160" s="65"/>
      <c r="Z160" s="43">
        <v>200</v>
      </c>
      <c r="AA160" s="65"/>
      <c r="AB160" s="3"/>
      <c r="AC160" s="43"/>
      <c r="AD160" s="156">
        <v>200</v>
      </c>
      <c r="AE160" s="63"/>
    </row>
    <row r="161" spans="1:34" x14ac:dyDescent="0.2">
      <c r="A161" s="55"/>
      <c r="B161" s="55"/>
      <c r="C161" s="56"/>
      <c r="D161" s="56" t="s">
        <v>113</v>
      </c>
      <c r="E161" s="56"/>
      <c r="F161" s="56"/>
      <c r="G161" s="40">
        <v>150</v>
      </c>
      <c r="H161" s="41"/>
      <c r="I161" s="40">
        <v>108.74</v>
      </c>
      <c r="J161" s="41"/>
      <c r="K161" s="41">
        <v>600</v>
      </c>
      <c r="L161" s="41"/>
      <c r="M161" s="42">
        <v>148.09</v>
      </c>
      <c r="N161" s="42">
        <v>0</v>
      </c>
      <c r="O161" s="43"/>
      <c r="P161" s="43">
        <v>148</v>
      </c>
      <c r="Q161" s="43"/>
      <c r="R161" s="43">
        <v>0</v>
      </c>
      <c r="S161" s="43"/>
      <c r="T161" s="43">
        <v>600</v>
      </c>
      <c r="U161" s="43"/>
      <c r="V161" s="43">
        <v>597.61</v>
      </c>
      <c r="W161" s="43"/>
      <c r="X161" s="43">
        <v>409.24</v>
      </c>
      <c r="Y161" s="65"/>
      <c r="Z161" s="43">
        <v>210</v>
      </c>
      <c r="AA161" s="65"/>
      <c r="AB161" s="3"/>
      <c r="AC161" s="43"/>
      <c r="AD161" s="156">
        <v>400</v>
      </c>
    </row>
    <row r="162" spans="1:34" x14ac:dyDescent="0.2">
      <c r="A162" s="55"/>
      <c r="B162" s="55"/>
      <c r="C162" s="56"/>
      <c r="D162" s="56" t="s">
        <v>114</v>
      </c>
      <c r="E162" s="56"/>
      <c r="F162" s="56"/>
      <c r="G162" s="40">
        <f>SUM(3278.48+(G163))</f>
        <v>8657.19</v>
      </c>
      <c r="H162" s="41"/>
      <c r="I162" s="40">
        <v>726.6</v>
      </c>
      <c r="J162" s="41"/>
      <c r="K162" s="41">
        <v>0</v>
      </c>
      <c r="L162" s="41"/>
      <c r="M162" s="42">
        <v>921.48</v>
      </c>
      <c r="N162" s="42">
        <v>0</v>
      </c>
      <c r="O162" s="43"/>
      <c r="P162" s="43">
        <v>453</v>
      </c>
      <c r="Q162" s="43"/>
      <c r="R162" s="43">
        <v>-220</v>
      </c>
      <c r="S162" s="43"/>
      <c r="T162" s="43">
        <v>500</v>
      </c>
      <c r="U162" s="43"/>
      <c r="V162" s="43">
        <v>195.98</v>
      </c>
      <c r="W162" s="43"/>
      <c r="X162" s="43">
        <v>968.7</v>
      </c>
      <c r="Y162" s="65"/>
      <c r="Z162" s="43">
        <v>1400</v>
      </c>
      <c r="AA162" s="65"/>
      <c r="AB162" s="3">
        <v>1108.1400000000001</v>
      </c>
      <c r="AC162" s="43"/>
      <c r="AD162" s="156">
        <v>1400</v>
      </c>
      <c r="AE162" s="5"/>
    </row>
    <row r="163" spans="1:34" x14ac:dyDescent="0.2">
      <c r="A163" s="55"/>
      <c r="B163" s="55"/>
      <c r="C163" s="56"/>
      <c r="D163" s="56" t="s">
        <v>115</v>
      </c>
      <c r="E163" s="56"/>
      <c r="F163" s="56"/>
      <c r="G163" s="40">
        <v>5378.71</v>
      </c>
      <c r="H163" s="41"/>
      <c r="I163" s="40">
        <v>1780.67</v>
      </c>
      <c r="J163" s="41"/>
      <c r="K163" s="41">
        <v>1600</v>
      </c>
      <c r="L163" s="41"/>
      <c r="M163" s="42">
        <v>610.04999999999995</v>
      </c>
      <c r="N163" s="42">
        <v>0</v>
      </c>
      <c r="O163" s="43"/>
      <c r="P163" s="43">
        <v>610</v>
      </c>
      <c r="Q163" s="43"/>
      <c r="R163" s="43">
        <v>1780.57</v>
      </c>
      <c r="S163" s="43"/>
      <c r="T163" s="43">
        <v>1400</v>
      </c>
      <c r="U163" s="43"/>
      <c r="V163" s="43">
        <v>620.91</v>
      </c>
      <c r="W163" s="43"/>
      <c r="X163" s="43">
        <v>1210.3900000000001</v>
      </c>
      <c r="Y163" s="65"/>
      <c r="Z163" s="43">
        <v>1305</v>
      </c>
      <c r="AA163" s="65"/>
      <c r="AB163" s="3">
        <v>1302.48</v>
      </c>
      <c r="AC163" s="43"/>
      <c r="AD163" s="156">
        <v>2000</v>
      </c>
    </row>
    <row r="164" spans="1:34" x14ac:dyDescent="0.2">
      <c r="A164" s="55"/>
      <c r="B164" s="55"/>
      <c r="C164" s="56"/>
      <c r="D164" s="56" t="s">
        <v>116</v>
      </c>
      <c r="E164" s="56"/>
      <c r="F164" s="56"/>
      <c r="G164" s="40">
        <v>2483.41</v>
      </c>
      <c r="H164" s="41"/>
      <c r="I164" s="40">
        <v>8735.32</v>
      </c>
      <c r="J164" s="41"/>
      <c r="K164" s="41">
        <v>300</v>
      </c>
      <c r="L164" s="41"/>
      <c r="M164" s="42">
        <v>594.58000000000004</v>
      </c>
      <c r="N164" s="42">
        <v>0</v>
      </c>
      <c r="O164" s="43"/>
      <c r="P164" s="43">
        <v>445</v>
      </c>
      <c r="Q164" s="43"/>
      <c r="R164" s="43">
        <v>8347.27</v>
      </c>
      <c r="S164" s="43"/>
      <c r="T164" s="43">
        <v>240</v>
      </c>
      <c r="U164" s="43"/>
      <c r="V164" s="43">
        <v>300.64</v>
      </c>
      <c r="W164" s="43"/>
      <c r="X164" s="43">
        <v>1567.59</v>
      </c>
      <c r="Y164" s="65"/>
      <c r="Z164" s="43">
        <v>3200</v>
      </c>
      <c r="AA164" s="65"/>
      <c r="AB164" s="3">
        <v>519.55999999999995</v>
      </c>
      <c r="AC164" s="43"/>
      <c r="AD164" s="156">
        <f>SUM((12*165)+1000)</f>
        <v>2980</v>
      </c>
      <c r="AE164" s="3" t="s">
        <v>244</v>
      </c>
    </row>
    <row r="165" spans="1:34" x14ac:dyDescent="0.2">
      <c r="A165" s="55"/>
      <c r="B165" s="55"/>
      <c r="C165" s="56"/>
      <c r="D165" s="56" t="s">
        <v>117</v>
      </c>
      <c r="E165" s="56"/>
      <c r="F165" s="56"/>
      <c r="G165" s="57">
        <v>910.3</v>
      </c>
      <c r="H165" s="41"/>
      <c r="I165" s="45">
        <v>1971.52</v>
      </c>
      <c r="J165" s="41"/>
      <c r="K165" s="41">
        <v>3200</v>
      </c>
      <c r="L165" s="41"/>
      <c r="M165" s="42">
        <v>4170.8900000000003</v>
      </c>
      <c r="N165" s="44">
        <v>0</v>
      </c>
      <c r="O165" s="76"/>
      <c r="P165" s="76">
        <v>2077</v>
      </c>
      <c r="Q165" s="76"/>
      <c r="R165" s="76">
        <v>659.84</v>
      </c>
      <c r="S165" s="76"/>
      <c r="T165" s="76">
        <v>4076</v>
      </c>
      <c r="U165" s="76"/>
      <c r="V165" s="76">
        <v>2242.6799999999998</v>
      </c>
      <c r="W165" s="76"/>
      <c r="X165" s="76">
        <v>4030</v>
      </c>
      <c r="Y165" s="79"/>
      <c r="Z165" s="76">
        <v>4360</v>
      </c>
      <c r="AA165" s="79"/>
      <c r="AB165" s="3">
        <v>3060.43</v>
      </c>
      <c r="AC165" s="76"/>
      <c r="AD165" s="168">
        <f>((195*12)+(65*12)+(1400))</f>
        <v>4520</v>
      </c>
      <c r="AE165" s="73" t="s">
        <v>252</v>
      </c>
    </row>
    <row r="166" spans="1:34" s="128" customFormat="1" x14ac:dyDescent="0.2">
      <c r="A166" s="55"/>
      <c r="B166" s="55"/>
      <c r="C166" s="56"/>
      <c r="D166" s="56" t="s">
        <v>204</v>
      </c>
      <c r="E166" s="56"/>
      <c r="F166" s="56"/>
      <c r="G166" s="40"/>
      <c r="H166" s="41"/>
      <c r="I166" s="45">
        <v>0</v>
      </c>
      <c r="J166" s="41"/>
      <c r="K166" s="41"/>
      <c r="L166" s="41"/>
      <c r="M166" s="42">
        <v>0</v>
      </c>
      <c r="N166" s="44"/>
      <c r="O166" s="76"/>
      <c r="P166" s="76"/>
      <c r="Q166" s="76"/>
      <c r="R166" s="76"/>
      <c r="S166" s="76"/>
      <c r="T166" s="76"/>
      <c r="U166" s="76"/>
      <c r="V166" s="76">
        <v>0</v>
      </c>
      <c r="W166" s="76"/>
      <c r="X166" s="76"/>
      <c r="Y166" s="79"/>
      <c r="Z166" s="76">
        <v>11100</v>
      </c>
      <c r="AA166" s="79"/>
      <c r="AB166" s="128">
        <v>4983.37</v>
      </c>
      <c r="AC166" s="76"/>
      <c r="AD166" s="157">
        <f>1400*12</f>
        <v>16800</v>
      </c>
      <c r="AE166" s="73"/>
    </row>
    <row r="167" spans="1:34" s="128" customFormat="1" x14ac:dyDescent="0.2">
      <c r="A167" s="55"/>
      <c r="B167" s="55"/>
      <c r="C167" s="56"/>
      <c r="D167" s="56" t="s">
        <v>227</v>
      </c>
      <c r="E167" s="56"/>
      <c r="F167" s="56"/>
      <c r="G167" s="40"/>
      <c r="H167" s="41"/>
      <c r="I167" s="60">
        <v>0</v>
      </c>
      <c r="J167" s="41"/>
      <c r="K167" s="41"/>
      <c r="L167" s="41"/>
      <c r="M167" s="58">
        <v>0</v>
      </c>
      <c r="N167" s="44"/>
      <c r="O167" s="43"/>
      <c r="P167" s="76"/>
      <c r="Q167" s="43"/>
      <c r="R167" s="76"/>
      <c r="S167" s="43"/>
      <c r="T167" s="76"/>
      <c r="U167" s="76"/>
      <c r="V167" s="59">
        <v>0</v>
      </c>
      <c r="W167" s="76"/>
      <c r="X167" s="59">
        <v>0</v>
      </c>
      <c r="Y167" s="79"/>
      <c r="Z167" s="59">
        <v>2410</v>
      </c>
      <c r="AA167" s="79"/>
      <c r="AB167" s="140"/>
      <c r="AC167" s="76"/>
      <c r="AD167" s="158">
        <v>2000</v>
      </c>
      <c r="AE167" s="73" t="s">
        <v>236</v>
      </c>
    </row>
    <row r="168" spans="1:34" s="1" customFormat="1" ht="13.5" customHeight="1" x14ac:dyDescent="0.2">
      <c r="A168" s="141"/>
      <c r="B168" s="141"/>
      <c r="C168" s="142" t="s">
        <v>118</v>
      </c>
      <c r="D168" s="142"/>
      <c r="E168" s="142"/>
      <c r="F168" s="142"/>
      <c r="G168" s="84">
        <f>ROUND(SUM(G154:G165),5)</f>
        <v>33416.49</v>
      </c>
      <c r="H168" s="48"/>
      <c r="I168" s="84">
        <f>ROUND(SUM(I154:I167),5)</f>
        <v>29947.439999999999</v>
      </c>
      <c r="J168" s="48"/>
      <c r="K168" s="84">
        <f>ROUND(SUM(K154:K165),5)</f>
        <v>24110</v>
      </c>
      <c r="L168" s="48"/>
      <c r="M168" s="84">
        <f>ROUND(SUM(M154:M167),5)</f>
        <v>36470.25</v>
      </c>
      <c r="N168" s="46">
        <f>ROUND(SUM(N154:N165),5)</f>
        <v>0</v>
      </c>
      <c r="O168" s="65"/>
      <c r="P168" s="84">
        <f>ROUND(SUM(P154:P165),5)</f>
        <v>23484.33</v>
      </c>
      <c r="Q168" s="65"/>
      <c r="R168" s="84">
        <f>ROUND(SUM(R154:R165),5)</f>
        <v>15491.15</v>
      </c>
      <c r="S168" s="65"/>
      <c r="T168" s="84">
        <f>ROUND(SUM(T154:T165),5)</f>
        <v>35616</v>
      </c>
      <c r="U168" s="84"/>
      <c r="V168" s="84">
        <f>ROUND(SUM(V154:V167),5)</f>
        <v>14009.68</v>
      </c>
      <c r="W168" s="84"/>
      <c r="X168" s="84">
        <f>ROUND(SUM(X154:X167),5)</f>
        <v>28204.59</v>
      </c>
      <c r="Y168" s="84"/>
      <c r="Z168" s="84">
        <f>ROUND(SUM(Z154:Z167),5)</f>
        <v>42460</v>
      </c>
      <c r="AA168" s="84"/>
      <c r="AB168" s="84">
        <f>ROUND(SUM(AB154:AB167),5)</f>
        <v>18346.810000000001</v>
      </c>
      <c r="AC168" s="84"/>
      <c r="AD168" s="162">
        <f>ROUND(SUM(AD154:AD167),5)</f>
        <v>48575</v>
      </c>
      <c r="AE168" s="65"/>
    </row>
    <row r="169" spans="1:34" s="118" customFormat="1" ht="6.75" customHeight="1" x14ac:dyDescent="0.2">
      <c r="A169" s="55"/>
      <c r="B169" s="55"/>
      <c r="C169" s="56"/>
      <c r="D169" s="56"/>
      <c r="E169" s="56"/>
      <c r="F169" s="56"/>
      <c r="G169" s="40"/>
      <c r="H169" s="41"/>
      <c r="I169" s="40"/>
      <c r="J169" s="41"/>
      <c r="K169" s="40"/>
      <c r="L169" s="41"/>
      <c r="M169" s="40"/>
      <c r="N169" s="45"/>
      <c r="O169" s="43"/>
      <c r="P169" s="40"/>
      <c r="Q169" s="43"/>
      <c r="R169" s="40"/>
      <c r="S169" s="43"/>
      <c r="T169" s="40"/>
      <c r="U169" s="40"/>
      <c r="V169" s="40"/>
      <c r="W169" s="40"/>
      <c r="X169" s="40"/>
      <c r="Y169" s="84"/>
      <c r="Z169" s="131"/>
      <c r="AA169" s="84"/>
      <c r="AB169" s="40"/>
      <c r="AC169" s="40"/>
      <c r="AD169" s="162"/>
      <c r="AE169" s="43"/>
    </row>
    <row r="170" spans="1:34" hidden="1" x14ac:dyDescent="0.2">
      <c r="A170" s="55"/>
      <c r="B170" s="55"/>
      <c r="C170" s="56" t="s">
        <v>119</v>
      </c>
      <c r="D170" s="56"/>
      <c r="E170" s="56"/>
      <c r="F170" s="56"/>
      <c r="G170" s="40"/>
      <c r="H170" s="41"/>
      <c r="I170" s="41"/>
      <c r="J170" s="41"/>
      <c r="K170" s="41"/>
      <c r="L170" s="41"/>
      <c r="M170" s="42"/>
      <c r="N170" s="42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65"/>
      <c r="Z170" s="43">
        <v>18781.55</v>
      </c>
      <c r="AA170" s="65"/>
      <c r="AB170" s="43"/>
      <c r="AC170" s="43"/>
      <c r="AD170" s="156"/>
      <c r="AF170" s="4"/>
    </row>
    <row r="171" spans="1:34" hidden="1" x14ac:dyDescent="0.2">
      <c r="A171" s="55"/>
      <c r="B171" s="55"/>
      <c r="C171" s="56"/>
      <c r="D171" s="56" t="s">
        <v>120</v>
      </c>
      <c r="E171" s="56"/>
      <c r="F171" s="56"/>
      <c r="G171" s="40"/>
      <c r="H171" s="41"/>
      <c r="I171" s="41"/>
      <c r="J171" s="41"/>
      <c r="K171" s="41"/>
      <c r="L171" s="41"/>
      <c r="M171" s="42"/>
      <c r="N171" s="42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65"/>
      <c r="Z171" s="43">
        <v>1056</v>
      </c>
      <c r="AA171" s="65"/>
      <c r="AB171" s="43"/>
      <c r="AC171" s="43"/>
      <c r="AD171" s="156"/>
      <c r="AF171" s="4"/>
    </row>
    <row r="172" spans="1:34" hidden="1" x14ac:dyDescent="0.2">
      <c r="A172" s="55"/>
      <c r="B172" s="55"/>
      <c r="C172" s="56"/>
      <c r="D172" s="56"/>
      <c r="E172" s="56" t="s">
        <v>121</v>
      </c>
      <c r="F172" s="56"/>
      <c r="G172" s="40">
        <v>70484.23</v>
      </c>
      <c r="H172" s="41"/>
      <c r="I172" s="40">
        <v>92000</v>
      </c>
      <c r="J172" s="41"/>
      <c r="K172" s="41"/>
      <c r="L172" s="41"/>
      <c r="M172" s="42">
        <v>0</v>
      </c>
      <c r="N172" s="42">
        <v>0</v>
      </c>
      <c r="O172" s="43"/>
      <c r="P172" s="43"/>
      <c r="Q172" s="43"/>
      <c r="R172" s="43"/>
      <c r="S172" s="43"/>
      <c r="T172" s="43">
        <v>97000</v>
      </c>
      <c r="U172" s="43"/>
      <c r="V172" s="43"/>
      <c r="W172" s="43"/>
      <c r="X172" s="43"/>
      <c r="Y172" s="65"/>
      <c r="Z172" s="43">
        <v>3988.38</v>
      </c>
      <c r="AA172" s="65"/>
      <c r="AB172" s="43"/>
      <c r="AC172" s="43"/>
      <c r="AD172" s="156"/>
      <c r="AF172" s="4"/>
    </row>
    <row r="173" spans="1:34" hidden="1" x14ac:dyDescent="0.2">
      <c r="A173" s="55"/>
      <c r="B173" s="55"/>
      <c r="C173" s="56"/>
      <c r="D173" s="56"/>
      <c r="E173" s="56" t="s">
        <v>122</v>
      </c>
      <c r="F173" s="56"/>
      <c r="G173" s="40">
        <v>6378.64</v>
      </c>
      <c r="H173" s="41"/>
      <c r="I173" s="40">
        <v>12000</v>
      </c>
      <c r="J173" s="41"/>
      <c r="K173" s="41"/>
      <c r="L173" s="41"/>
      <c r="M173" s="42">
        <v>0</v>
      </c>
      <c r="N173" s="42">
        <v>0</v>
      </c>
      <c r="O173" s="43"/>
      <c r="P173" s="43"/>
      <c r="Q173" s="43"/>
      <c r="R173" s="43"/>
      <c r="S173" s="43"/>
      <c r="T173" s="43">
        <f>8400.5+1920</f>
        <v>10320.5</v>
      </c>
      <c r="U173" s="43"/>
      <c r="V173" s="43"/>
      <c r="W173" s="43"/>
      <c r="X173" s="43"/>
      <c r="Y173" s="65"/>
      <c r="Z173" s="43">
        <v>0</v>
      </c>
      <c r="AA173" s="65"/>
      <c r="AB173" s="43"/>
      <c r="AC173" s="43"/>
      <c r="AD173" s="156"/>
      <c r="AF173" s="4"/>
    </row>
    <row r="174" spans="1:34" s="35" customFormat="1" hidden="1" x14ac:dyDescent="0.2">
      <c r="A174" s="55"/>
      <c r="B174" s="55"/>
      <c r="C174" s="56"/>
      <c r="D174" s="56"/>
      <c r="E174" s="56" t="s">
        <v>149</v>
      </c>
      <c r="F174" s="56"/>
      <c r="G174" s="40">
        <v>2012.99</v>
      </c>
      <c r="H174" s="41"/>
      <c r="I174" s="40">
        <v>0</v>
      </c>
      <c r="J174" s="41"/>
      <c r="K174" s="41"/>
      <c r="L174" s="41"/>
      <c r="M174" s="42">
        <v>0</v>
      </c>
      <c r="N174" s="42">
        <v>0</v>
      </c>
      <c r="O174" s="43"/>
      <c r="P174" s="43"/>
      <c r="Q174" s="43"/>
      <c r="R174" s="43"/>
      <c r="S174" s="43"/>
      <c r="T174" s="43">
        <f>2192.4+1962</f>
        <v>4154.3999999999996</v>
      </c>
      <c r="U174" s="43"/>
      <c r="V174" s="43"/>
      <c r="W174" s="43"/>
      <c r="X174" s="43"/>
      <c r="Y174" s="65"/>
      <c r="Z174" s="43">
        <v>996</v>
      </c>
      <c r="AA174" s="65"/>
      <c r="AB174" s="43"/>
      <c r="AC174" s="43"/>
      <c r="AD174" s="156"/>
      <c r="AE174" s="3"/>
      <c r="AF174" s="4"/>
    </row>
    <row r="175" spans="1:34" hidden="1" x14ac:dyDescent="0.2">
      <c r="A175" s="55"/>
      <c r="B175" s="55"/>
      <c r="C175" s="56"/>
      <c r="D175" s="56"/>
      <c r="E175" s="56" t="s">
        <v>154</v>
      </c>
      <c r="F175" s="56"/>
      <c r="G175" s="40">
        <v>0</v>
      </c>
      <c r="H175" s="41"/>
      <c r="I175" s="40">
        <v>0</v>
      </c>
      <c r="J175" s="41"/>
      <c r="K175" s="41"/>
      <c r="L175" s="41"/>
      <c r="M175" s="42">
        <v>0</v>
      </c>
      <c r="N175" s="42"/>
      <c r="O175" s="43"/>
      <c r="P175" s="43"/>
      <c r="Q175" s="43"/>
      <c r="R175" s="43"/>
      <c r="S175" s="43"/>
      <c r="T175" s="43">
        <v>1920</v>
      </c>
      <c r="U175" s="43"/>
      <c r="V175" s="43"/>
      <c r="W175" s="43"/>
      <c r="X175" s="43"/>
      <c r="Y175" s="65"/>
      <c r="Z175" s="134">
        <f>SUM(Z169:Z174)</f>
        <v>24821.93</v>
      </c>
      <c r="AA175" s="65"/>
      <c r="AB175" s="43"/>
      <c r="AC175" s="43"/>
      <c r="AD175" s="156"/>
      <c r="AE175" s="35"/>
      <c r="AF175" s="4"/>
    </row>
    <row r="176" spans="1:34" hidden="1" x14ac:dyDescent="0.2">
      <c r="A176" s="55"/>
      <c r="B176" s="55"/>
      <c r="C176" s="56"/>
      <c r="D176" s="56"/>
      <c r="E176" s="56" t="s">
        <v>123</v>
      </c>
      <c r="F176" s="56"/>
      <c r="G176" s="40">
        <v>691.38</v>
      </c>
      <c r="H176" s="41"/>
      <c r="I176" s="40">
        <v>3100</v>
      </c>
      <c r="J176" s="41"/>
      <c r="K176" s="41"/>
      <c r="L176" s="41"/>
      <c r="M176" s="42">
        <v>0</v>
      </c>
      <c r="N176" s="42">
        <v>0</v>
      </c>
      <c r="O176" s="43"/>
      <c r="P176" s="43"/>
      <c r="Q176" s="43"/>
      <c r="R176" s="43"/>
      <c r="S176" s="43"/>
      <c r="T176" s="43">
        <v>720</v>
      </c>
      <c r="U176" s="43"/>
      <c r="V176" s="43"/>
      <c r="W176" s="43"/>
      <c r="X176" s="43"/>
      <c r="Y176" s="65"/>
      <c r="Z176" s="43"/>
      <c r="AA176" s="65"/>
      <c r="AB176" s="43"/>
      <c r="AC176" s="43"/>
      <c r="AD176" s="156"/>
      <c r="AF176" s="4"/>
      <c r="AH176" s="3" t="s">
        <v>147</v>
      </c>
    </row>
    <row r="177" spans="1:33" s="87" customFormat="1" hidden="1" x14ac:dyDescent="0.2">
      <c r="A177" s="55"/>
      <c r="B177" s="55"/>
      <c r="C177" s="56"/>
      <c r="D177" s="56"/>
      <c r="E177" s="56"/>
      <c r="F177" s="56"/>
      <c r="G177" s="40"/>
      <c r="H177" s="41"/>
      <c r="I177" s="40"/>
      <c r="J177" s="41"/>
      <c r="K177" s="41"/>
      <c r="L177" s="41"/>
      <c r="M177" s="42"/>
      <c r="N177" s="42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65"/>
      <c r="Z177" s="43">
        <v>7200</v>
      </c>
      <c r="AA177" s="65"/>
      <c r="AB177" s="43"/>
      <c r="AC177" s="43"/>
      <c r="AD177" s="156"/>
      <c r="AF177" s="4"/>
    </row>
    <row r="178" spans="1:33" ht="12.75" customHeight="1" thickBot="1" x14ac:dyDescent="0.25">
      <c r="A178" s="55"/>
      <c r="B178" s="55"/>
      <c r="C178" s="56" t="s">
        <v>124</v>
      </c>
      <c r="D178" s="56"/>
      <c r="E178" s="56"/>
      <c r="F178" s="56"/>
      <c r="G178" s="57" t="e">
        <f>#REF!</f>
        <v>#REF!</v>
      </c>
      <c r="H178" s="41"/>
      <c r="I178" s="57">
        <f>SUM(I172:I176)</f>
        <v>107100</v>
      </c>
      <c r="J178" s="41"/>
      <c r="K178" s="72">
        <v>108526</v>
      </c>
      <c r="L178" s="41"/>
      <c r="M178" s="57">
        <v>119988.24</v>
      </c>
      <c r="N178" s="45" t="e">
        <f>ROUND(N172+#REF!,5)</f>
        <v>#REF!</v>
      </c>
      <c r="O178" s="76"/>
      <c r="P178" s="57">
        <v>14080.27</v>
      </c>
      <c r="Q178" s="43"/>
      <c r="R178" s="57" t="e">
        <f>#REF!</f>
        <v>#REF!</v>
      </c>
      <c r="S178" s="43"/>
      <c r="T178" s="57">
        <v>114562.2</v>
      </c>
      <c r="U178" s="84"/>
      <c r="V178" s="57">
        <v>77119</v>
      </c>
      <c r="W178" s="84"/>
      <c r="X178" s="59">
        <v>138685.01</v>
      </c>
      <c r="Y178" s="79"/>
      <c r="Z178" s="136">
        <v>240860</v>
      </c>
      <c r="AA178" s="79"/>
      <c r="AB178" s="59">
        <v>130338.37</v>
      </c>
      <c r="AC178" s="57"/>
      <c r="AD178" s="158">
        <v>255700.02</v>
      </c>
      <c r="AE178" s="40"/>
      <c r="AF178" s="4"/>
    </row>
    <row r="179" spans="1:33" x14ac:dyDescent="0.2">
      <c r="A179" s="55"/>
      <c r="B179" s="55"/>
      <c r="C179" s="56" t="s">
        <v>125</v>
      </c>
      <c r="D179" s="56"/>
      <c r="E179" s="56"/>
      <c r="F179" s="56"/>
      <c r="G179" s="40"/>
      <c r="H179" s="41"/>
      <c r="I179" s="41"/>
      <c r="J179" s="41"/>
      <c r="K179" s="41"/>
      <c r="L179" s="41"/>
      <c r="M179" s="42"/>
      <c r="N179" s="42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65"/>
      <c r="Z179" s="43"/>
      <c r="AA179" s="65"/>
      <c r="AB179" s="43"/>
      <c r="AC179" s="43"/>
      <c r="AD179" s="156"/>
      <c r="AF179" s="4"/>
    </row>
    <row r="180" spans="1:33" x14ac:dyDescent="0.2">
      <c r="A180" s="55"/>
      <c r="B180" s="55"/>
      <c r="C180" s="56"/>
      <c r="D180" s="56" t="s">
        <v>126</v>
      </c>
      <c r="E180" s="56"/>
      <c r="F180" s="56"/>
      <c r="G180" s="40">
        <v>4800</v>
      </c>
      <c r="H180" s="41"/>
      <c r="I180" s="40">
        <v>4800</v>
      </c>
      <c r="J180" s="41"/>
      <c r="K180" s="41"/>
      <c r="L180" s="41"/>
      <c r="M180" s="42">
        <v>4800</v>
      </c>
      <c r="N180" s="42">
        <v>4800</v>
      </c>
      <c r="O180" s="43"/>
      <c r="P180" s="43"/>
      <c r="Q180" s="43"/>
      <c r="R180" s="43"/>
      <c r="S180" s="43"/>
      <c r="T180" s="43">
        <v>4800</v>
      </c>
      <c r="U180" s="43"/>
      <c r="V180" s="43">
        <v>4200</v>
      </c>
      <c r="W180" s="43"/>
      <c r="X180" s="43">
        <v>7200</v>
      </c>
      <c r="Y180" s="65"/>
      <c r="Z180" s="43">
        <v>7200</v>
      </c>
      <c r="AA180" s="65"/>
      <c r="AB180" s="43">
        <f>600*7</f>
        <v>4200</v>
      </c>
      <c r="AC180" s="43"/>
      <c r="AD180" s="156">
        <v>7200</v>
      </c>
      <c r="AE180" s="3" t="s">
        <v>180</v>
      </c>
      <c r="AF180" s="4"/>
    </row>
    <row r="181" spans="1:33" hidden="1" x14ac:dyDescent="0.2">
      <c r="A181" s="55"/>
      <c r="B181" s="55"/>
      <c r="C181" s="56"/>
      <c r="D181" s="56" t="s">
        <v>127</v>
      </c>
      <c r="E181" s="56"/>
      <c r="F181" s="56"/>
      <c r="G181" s="40">
        <v>400</v>
      </c>
      <c r="H181" s="41"/>
      <c r="I181" s="42">
        <v>0</v>
      </c>
      <c r="J181" s="41"/>
      <c r="K181" s="41"/>
      <c r="L181" s="41"/>
      <c r="M181" s="42">
        <v>0</v>
      </c>
      <c r="N181" s="42">
        <v>0</v>
      </c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65"/>
      <c r="AA181" s="65"/>
      <c r="AB181" s="43"/>
      <c r="AC181" s="43"/>
      <c r="AD181" s="156"/>
      <c r="AF181" s="4"/>
    </row>
    <row r="182" spans="1:33" hidden="1" x14ac:dyDescent="0.2">
      <c r="A182" s="55"/>
      <c r="B182" s="55"/>
      <c r="C182" s="56"/>
      <c r="D182" s="56" t="s">
        <v>128</v>
      </c>
      <c r="E182" s="56"/>
      <c r="F182" s="56"/>
      <c r="G182" s="40">
        <v>6225</v>
      </c>
      <c r="H182" s="41"/>
      <c r="I182" s="42">
        <v>0</v>
      </c>
      <c r="J182" s="41"/>
      <c r="K182" s="41"/>
      <c r="L182" s="41"/>
      <c r="M182" s="42">
        <v>0</v>
      </c>
      <c r="N182" s="42">
        <v>0</v>
      </c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65"/>
      <c r="AA182" s="65"/>
      <c r="AB182" s="43"/>
      <c r="AC182" s="43"/>
      <c r="AD182" s="156"/>
      <c r="AF182" s="4"/>
    </row>
    <row r="183" spans="1:33" s="118" customFormat="1" x14ac:dyDescent="0.2">
      <c r="A183" s="55"/>
      <c r="B183" s="55"/>
      <c r="C183" s="56"/>
      <c r="D183" s="56" t="s">
        <v>199</v>
      </c>
      <c r="E183" s="56"/>
      <c r="F183" s="56"/>
      <c r="G183" s="40"/>
      <c r="H183" s="41"/>
      <c r="I183" s="58"/>
      <c r="J183" s="41"/>
      <c r="K183" s="41"/>
      <c r="L183" s="41"/>
      <c r="M183" s="58"/>
      <c r="N183" s="42"/>
      <c r="O183" s="43"/>
      <c r="P183" s="43"/>
      <c r="Q183" s="43"/>
      <c r="R183" s="43"/>
      <c r="S183" s="43"/>
      <c r="T183" s="43"/>
      <c r="U183" s="43"/>
      <c r="V183" s="59"/>
      <c r="W183" s="43"/>
      <c r="X183" s="59">
        <v>573.48</v>
      </c>
      <c r="Y183" s="65"/>
      <c r="Z183" s="59">
        <v>525</v>
      </c>
      <c r="AA183" s="65"/>
      <c r="AB183" s="59">
        <v>0</v>
      </c>
      <c r="AC183" s="43"/>
      <c r="AD183" s="158">
        <v>0</v>
      </c>
      <c r="AF183" s="4"/>
    </row>
    <row r="184" spans="1:33" hidden="1" x14ac:dyDescent="0.2">
      <c r="A184" s="55"/>
      <c r="B184" s="55"/>
      <c r="C184" s="56"/>
      <c r="D184" s="56" t="s">
        <v>146</v>
      </c>
      <c r="E184" s="56"/>
      <c r="F184" s="56"/>
      <c r="G184" s="40">
        <v>0</v>
      </c>
      <c r="H184" s="41"/>
      <c r="I184" s="45">
        <v>20000</v>
      </c>
      <c r="J184" s="41"/>
      <c r="K184" s="41"/>
      <c r="L184" s="41"/>
      <c r="M184" s="42">
        <v>0</v>
      </c>
      <c r="N184" s="44">
        <v>0</v>
      </c>
      <c r="O184" s="43"/>
      <c r="P184" s="43"/>
      <c r="Q184" s="43"/>
      <c r="R184" s="43"/>
      <c r="S184" s="43"/>
      <c r="T184" s="59"/>
      <c r="U184" s="43"/>
      <c r="V184" s="76"/>
      <c r="W184" s="43"/>
      <c r="X184" s="76"/>
      <c r="Y184" s="79"/>
      <c r="Z184" s="76"/>
      <c r="AA184" s="79"/>
      <c r="AB184" s="76"/>
      <c r="AC184" s="76"/>
      <c r="AD184" s="157"/>
      <c r="AF184" s="4"/>
    </row>
    <row r="185" spans="1:33" s="1" customFormat="1" ht="12" customHeight="1" x14ac:dyDescent="0.2">
      <c r="A185" s="141"/>
      <c r="B185" s="141"/>
      <c r="C185" s="142" t="s">
        <v>129</v>
      </c>
      <c r="D185" s="142"/>
      <c r="E185" s="142"/>
      <c r="F185" s="142"/>
      <c r="G185" s="148">
        <f>ROUND(SUM(G180:G184),5)</f>
        <v>11425</v>
      </c>
      <c r="H185" s="48"/>
      <c r="I185" s="79">
        <f>SUM(I180:I184)</f>
        <v>24800</v>
      </c>
      <c r="J185" s="48"/>
      <c r="K185" s="149">
        <v>4800</v>
      </c>
      <c r="L185" s="48"/>
      <c r="M185" s="79">
        <f>SUM(M180:M184)</f>
        <v>4800</v>
      </c>
      <c r="N185" s="46">
        <f>ROUND(SUM(N180:N184),5)</f>
        <v>4800</v>
      </c>
      <c r="O185" s="65"/>
      <c r="P185" s="67">
        <v>3200</v>
      </c>
      <c r="Q185" s="65"/>
      <c r="R185" s="67">
        <v>1600</v>
      </c>
      <c r="S185" s="65"/>
      <c r="T185" s="67">
        <v>4800</v>
      </c>
      <c r="U185" s="79"/>
      <c r="V185" s="79">
        <f>SUM(V180:V184)</f>
        <v>4200</v>
      </c>
      <c r="W185" s="79"/>
      <c r="X185" s="79">
        <f>SUM(X180:X184)</f>
        <v>7773.48</v>
      </c>
      <c r="Y185" s="79"/>
      <c r="Z185" s="79">
        <f>SUM(Z180:Z184)</f>
        <v>7725</v>
      </c>
      <c r="AA185" s="79"/>
      <c r="AB185" s="79">
        <f>SUM(AB180:AB184)</f>
        <v>4200</v>
      </c>
      <c r="AC185" s="79"/>
      <c r="AD185" s="157">
        <f>SUM(AD180:AD184)</f>
        <v>7200</v>
      </c>
      <c r="AF185" s="150"/>
    </row>
    <row r="186" spans="1:33" s="143" customFormat="1" ht="12" hidden="1" customHeight="1" x14ac:dyDescent="0.2">
      <c r="A186" s="55"/>
      <c r="B186" s="55"/>
      <c r="C186" s="56" t="s">
        <v>242</v>
      </c>
      <c r="D186" s="56"/>
      <c r="E186" s="56"/>
      <c r="F186" s="56"/>
      <c r="G186" s="40"/>
      <c r="H186" s="41"/>
      <c r="I186" s="76"/>
      <c r="J186" s="41"/>
      <c r="K186" s="41"/>
      <c r="L186" s="41"/>
      <c r="M186" s="76"/>
      <c r="N186" s="45"/>
      <c r="O186" s="43"/>
      <c r="P186" s="76"/>
      <c r="Q186" s="43"/>
      <c r="R186" s="76"/>
      <c r="S186" s="43"/>
      <c r="T186" s="76"/>
      <c r="U186" s="76"/>
      <c r="V186" s="76"/>
      <c r="W186" s="76"/>
      <c r="X186" s="76">
        <v>3311.98</v>
      </c>
      <c r="Y186" s="79"/>
      <c r="Z186" s="76"/>
      <c r="AA186" s="79"/>
      <c r="AB186" s="76"/>
      <c r="AC186" s="76"/>
      <c r="AD186" s="157"/>
      <c r="AF186" s="4"/>
    </row>
    <row r="187" spans="1:33" ht="18" customHeight="1" x14ac:dyDescent="0.2">
      <c r="A187" s="55"/>
      <c r="B187" s="55" t="s">
        <v>130</v>
      </c>
      <c r="C187" s="56"/>
      <c r="D187" s="56"/>
      <c r="E187" s="56"/>
      <c r="F187" s="56"/>
      <c r="G187" s="45" t="e">
        <f>ROUND(#REF!+G75+G84+G91+G103+G109+G115+G121+G131+#REF!+G147+G152+G168+G178+G185,5)</f>
        <v>#REF!</v>
      </c>
      <c r="H187" s="42"/>
      <c r="I187" s="46" t="e">
        <f>ROUND(I75+I84+I91+I96+I103+I109+I115+I121+I131+I147+I152+I168+I178+I185,5)</f>
        <v>#REF!</v>
      </c>
      <c r="J187" s="41"/>
      <c r="K187" s="45" t="e">
        <f>ROUND(#REF!+K75+K84+K91+K103+K109+K115+K121+K131+K147+K152+K168+K178+K185,5)</f>
        <v>#REF!</v>
      </c>
      <c r="L187" s="41"/>
      <c r="M187" s="46">
        <f>ROUND(M75+M84+M91+M96+M103+M109+M115+M121+M131+M147+M152+M168+M178+M185,5)</f>
        <v>692292.49</v>
      </c>
      <c r="N187" s="45" t="e">
        <f>ROUND(#REF!+N75+N84+N91+N103+N109+N115+N121+N131+N147+N152+N168+N178+N185,5)</f>
        <v>#REF!</v>
      </c>
      <c r="O187" s="43"/>
      <c r="P187" s="45" t="e">
        <f>ROUND(#REF!+P75+P84+P91+P103+P109+P115+P121+P131+#REF!+P147+P152+P168+P178+P185,5)</f>
        <v>#REF!</v>
      </c>
      <c r="Q187" s="43"/>
      <c r="R187" s="43"/>
      <c r="S187" s="43"/>
      <c r="T187" s="45" t="e">
        <f>ROUND(#REF!+T75+T84+T91+T103+T109+T115+T121+T131+T147+T152+T168+T178+T185,5)</f>
        <v>#REF!</v>
      </c>
      <c r="U187" s="45"/>
      <c r="V187" s="46">
        <f>ROUND(V75+V84+V91+V96+V103+V109+V115+V121+V131+V147+V152+V168+V178+V185,5)</f>
        <v>566111.71</v>
      </c>
      <c r="W187" s="45"/>
      <c r="X187" s="46">
        <f>ROUND(X75+X84+X91+X96+X103+X109+X115+X121+X131+X147+X152+X168+X178+X185,5)</f>
        <v>896991.27</v>
      </c>
      <c r="Y187" s="46"/>
      <c r="Z187" s="46">
        <f>ROUND(Z75+Z84+Z91+Z96+Z103+Z109+Z115+Z121+Z131+Z147+Z152+Z168+Z178+Z185,5)</f>
        <v>973851</v>
      </c>
      <c r="AA187" s="46"/>
      <c r="AB187" s="46">
        <f>ROUND(AB75+AB84+AB91+AB96+AB103+AB109+AB115+AB121+AB131+AB147+AB152+AB168+AB178+AB185,5)</f>
        <v>420387.69</v>
      </c>
      <c r="AC187" s="45"/>
      <c r="AD187" s="166">
        <f>ROUND(AD75+AD84+AD91+AD96+AD103+AD109+AD115+AD121+AD131+AD147+AD152+AD168+AD178+AD185,5)</f>
        <v>980145.02</v>
      </c>
      <c r="AE187" s="43"/>
      <c r="AG187" s="43"/>
    </row>
    <row r="188" spans="1:33" s="1" customFormat="1" ht="13.5" customHeight="1" x14ac:dyDescent="0.2">
      <c r="A188" s="141"/>
      <c r="B188" s="141" t="s">
        <v>206</v>
      </c>
      <c r="C188" s="142"/>
      <c r="D188" s="142"/>
      <c r="E188" s="142"/>
      <c r="F188" s="142"/>
      <c r="G188" s="84"/>
      <c r="H188" s="48"/>
      <c r="I188" s="46"/>
      <c r="J188" s="48"/>
      <c r="K188" s="44"/>
      <c r="L188" s="48"/>
      <c r="M188" s="44"/>
      <c r="N188" s="44"/>
      <c r="O188" s="65"/>
      <c r="P188" s="65"/>
      <c r="Q188" s="65"/>
      <c r="R188" s="65"/>
      <c r="S188" s="65"/>
      <c r="T188" s="65"/>
      <c r="U188" s="65"/>
      <c r="V188" s="65"/>
      <c r="W188" s="65"/>
      <c r="X188" s="65">
        <v>112206</v>
      </c>
      <c r="Y188" s="65"/>
      <c r="Z188" s="65">
        <v>96500</v>
      </c>
      <c r="AA188" s="65"/>
      <c r="AB188" s="65">
        <f>SUM(17000+2300)*4</f>
        <v>77200</v>
      </c>
      <c r="AC188" s="65"/>
      <c r="AD188" s="156">
        <f>SUM(17170+1555)*3</f>
        <v>56175</v>
      </c>
      <c r="AG188" s="65"/>
    </row>
    <row r="189" spans="1:33" s="1" customFormat="1" ht="15" customHeight="1" x14ac:dyDescent="0.2">
      <c r="A189" s="141"/>
      <c r="B189" s="141" t="s">
        <v>205</v>
      </c>
      <c r="C189" s="142"/>
      <c r="D189" s="142"/>
      <c r="E189" s="142"/>
      <c r="F189" s="142"/>
      <c r="G189" s="84" t="e">
        <f>ROUND(G60-G187,5)</f>
        <v>#REF!</v>
      </c>
      <c r="H189" s="48"/>
      <c r="I189" s="84" t="e">
        <f>ROUND(I60-I187,5)</f>
        <v>#REF!</v>
      </c>
      <c r="J189" s="48"/>
      <c r="K189" s="84" t="e">
        <f>ROUND(K60-K187,5)</f>
        <v>#REF!</v>
      </c>
      <c r="L189" s="48"/>
      <c r="M189" s="46">
        <f>ROUND(M60-M187,5)</f>
        <v>139618.70000000001</v>
      </c>
      <c r="N189" s="46" t="e">
        <f>ROUND(N60-N187,5)</f>
        <v>#REF!</v>
      </c>
      <c r="O189" s="65"/>
      <c r="P189" s="46" t="e">
        <f>ROUND(P60-P187,5)</f>
        <v>#REF!</v>
      </c>
      <c r="Q189" s="65"/>
      <c r="R189" s="65"/>
      <c r="S189" s="65"/>
      <c r="T189" s="46" t="e">
        <f>ROUND(T60-T187,5)</f>
        <v>#REF!</v>
      </c>
      <c r="U189" s="46"/>
      <c r="V189" s="46">
        <f>ROUND(V60-V187,5)</f>
        <v>-71650.710000000006</v>
      </c>
      <c r="W189" s="46"/>
      <c r="X189" s="46">
        <f>ROUND(X60-X187,5)</f>
        <v>288028.93</v>
      </c>
      <c r="Y189" s="46"/>
      <c r="Z189" s="46">
        <f>ROUND(Z60-(Z187+Z188),5)</f>
        <v>64559</v>
      </c>
      <c r="AA189" s="46"/>
      <c r="AB189" s="46">
        <f>ROUND(AB60-(AB187+AB188),5)</f>
        <v>184689.78</v>
      </c>
      <c r="AC189" s="46"/>
      <c r="AD189" s="166">
        <f>ROUND(AD60-(AD187+AD188),5)</f>
        <v>19704.98</v>
      </c>
      <c r="AE189" s="65"/>
    </row>
    <row r="190" spans="1:33" x14ac:dyDescent="0.2">
      <c r="A190" s="55"/>
      <c r="B190" s="55"/>
      <c r="C190" s="56"/>
      <c r="D190" s="56"/>
      <c r="E190" s="56"/>
      <c r="F190" s="56"/>
      <c r="G190" s="45"/>
      <c r="H190" s="41"/>
      <c r="I190" s="41"/>
      <c r="J190" s="41"/>
      <c r="K190" s="41"/>
      <c r="L190" s="41"/>
      <c r="M190" s="42"/>
      <c r="N190" s="42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65"/>
      <c r="Z190" s="43"/>
      <c r="AA190" s="65"/>
      <c r="AB190" s="43"/>
      <c r="AC190" s="43"/>
      <c r="AD190" s="156"/>
    </row>
    <row r="191" spans="1:33" ht="10.5" customHeight="1" x14ac:dyDescent="0.2">
      <c r="A191" s="55" t="s">
        <v>131</v>
      </c>
      <c r="B191" s="55"/>
      <c r="C191" s="56"/>
      <c r="D191" s="56"/>
      <c r="E191" s="56"/>
      <c r="F191" s="56"/>
      <c r="G191" s="40"/>
      <c r="H191" s="41"/>
      <c r="I191" s="41"/>
      <c r="J191" s="41"/>
      <c r="K191" s="41"/>
      <c r="L191" s="41"/>
      <c r="M191" s="42"/>
      <c r="N191" s="42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65"/>
      <c r="Z191" s="43"/>
      <c r="AA191" s="65"/>
      <c r="AB191" s="43"/>
      <c r="AC191" s="43"/>
      <c r="AD191" s="156"/>
    </row>
    <row r="192" spans="1:33" x14ac:dyDescent="0.2">
      <c r="A192" s="55"/>
      <c r="B192" s="55" t="s">
        <v>167</v>
      </c>
      <c r="C192" s="56"/>
      <c r="D192" s="56"/>
      <c r="E192" s="56"/>
      <c r="F192" s="56"/>
      <c r="G192" s="40"/>
      <c r="H192" s="41"/>
      <c r="I192" s="41"/>
      <c r="J192" s="41"/>
      <c r="K192" s="41"/>
      <c r="L192" s="41"/>
      <c r="M192" s="42"/>
      <c r="N192" s="42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65"/>
      <c r="Z192" s="43"/>
      <c r="AA192" s="65"/>
      <c r="AB192" s="43"/>
      <c r="AC192" s="43"/>
      <c r="AD192" s="156"/>
    </row>
    <row r="193" spans="1:33" x14ac:dyDescent="0.2">
      <c r="A193" s="55"/>
      <c r="B193" s="55"/>
      <c r="C193" s="56" t="s">
        <v>166</v>
      </c>
      <c r="D193" s="56"/>
      <c r="E193" s="56"/>
      <c r="F193" s="56"/>
      <c r="G193" s="40">
        <f>65021.83+9367.73</f>
        <v>74389.56</v>
      </c>
      <c r="H193" s="41"/>
      <c r="I193" s="42"/>
      <c r="J193" s="41"/>
      <c r="K193" s="42">
        <v>0</v>
      </c>
      <c r="L193" s="41"/>
      <c r="M193" s="42">
        <v>69259</v>
      </c>
      <c r="N193" s="42"/>
      <c r="O193" s="43"/>
      <c r="P193" s="43"/>
      <c r="Q193" s="43"/>
      <c r="R193" s="43"/>
      <c r="S193" s="43"/>
      <c r="T193" s="43"/>
      <c r="U193" s="43"/>
      <c r="V193" s="43"/>
      <c r="W193" s="43"/>
      <c r="X193" s="43">
        <v>71669</v>
      </c>
      <c r="Y193" s="65"/>
      <c r="Z193" s="152">
        <v>74678</v>
      </c>
      <c r="AA193" s="65"/>
      <c r="AB193" s="43"/>
      <c r="AC193" s="43"/>
      <c r="AD193" s="156">
        <v>76000</v>
      </c>
      <c r="AE193" s="3" t="s">
        <v>243</v>
      </c>
    </row>
    <row r="194" spans="1:33" hidden="1" x14ac:dyDescent="0.2">
      <c r="A194" s="55"/>
      <c r="B194" s="55"/>
      <c r="C194" s="56" t="s">
        <v>164</v>
      </c>
      <c r="D194" s="56"/>
      <c r="E194" s="56"/>
      <c r="F194" s="56"/>
      <c r="G194" s="40">
        <v>0</v>
      </c>
      <c r="H194" s="41"/>
      <c r="I194" s="42">
        <v>15000</v>
      </c>
      <c r="J194" s="41"/>
      <c r="K194" s="42">
        <v>0</v>
      </c>
      <c r="L194" s="41"/>
      <c r="M194" s="42">
        <v>15000</v>
      </c>
      <c r="N194" s="42"/>
      <c r="O194" s="43"/>
      <c r="P194" s="43">
        <v>15000</v>
      </c>
      <c r="Q194" s="43"/>
      <c r="R194" s="43"/>
      <c r="S194" s="43"/>
      <c r="T194" s="43">
        <v>0</v>
      </c>
      <c r="U194" s="43"/>
      <c r="V194" s="43"/>
      <c r="W194" s="43"/>
      <c r="X194" s="43"/>
      <c r="Y194" s="65"/>
      <c r="AA194" s="65"/>
      <c r="AB194" s="43"/>
      <c r="AC194" s="43"/>
      <c r="AD194" s="156"/>
    </row>
    <row r="195" spans="1:33" ht="9" hidden="1" customHeight="1" x14ac:dyDescent="0.2">
      <c r="A195" s="55"/>
      <c r="B195" s="55"/>
      <c r="C195" s="56" t="s">
        <v>165</v>
      </c>
      <c r="D195" s="56"/>
      <c r="E195" s="56"/>
      <c r="F195" s="56"/>
      <c r="G195" s="40">
        <v>0</v>
      </c>
      <c r="H195" s="41"/>
      <c r="I195" s="42">
        <v>-85000</v>
      </c>
      <c r="J195" s="41"/>
      <c r="K195" s="42">
        <v>0</v>
      </c>
      <c r="L195" s="41"/>
      <c r="M195" s="42">
        <v>-52500</v>
      </c>
      <c r="N195" s="42"/>
      <c r="O195" s="43"/>
      <c r="P195" s="43">
        <v>52500</v>
      </c>
      <c r="Q195" s="43"/>
      <c r="R195" s="43"/>
      <c r="S195" s="43"/>
      <c r="T195" s="43">
        <v>-98000</v>
      </c>
      <c r="U195" s="43"/>
      <c r="V195" s="43"/>
      <c r="W195" s="43"/>
      <c r="X195" s="43">
        <v>-25000</v>
      </c>
      <c r="Y195" s="65"/>
      <c r="AA195" s="65"/>
      <c r="AB195" s="43"/>
      <c r="AC195" s="43"/>
      <c r="AD195" s="156"/>
    </row>
    <row r="196" spans="1:33" x14ac:dyDescent="0.2">
      <c r="A196" s="55"/>
      <c r="B196" s="55"/>
      <c r="C196" s="56" t="s">
        <v>168</v>
      </c>
      <c r="D196" s="56"/>
      <c r="E196" s="56"/>
      <c r="F196" s="56"/>
      <c r="G196" s="40">
        <v>-17740.75</v>
      </c>
      <c r="H196" s="41"/>
      <c r="I196" s="42"/>
      <c r="J196" s="41"/>
      <c r="K196" s="42">
        <v>-18000</v>
      </c>
      <c r="L196" s="41"/>
      <c r="M196" s="42">
        <v>-20305.04</v>
      </c>
      <c r="N196" s="42"/>
      <c r="O196" s="43"/>
      <c r="P196" s="43">
        <v>-15205.62</v>
      </c>
      <c r="Q196" s="43"/>
      <c r="R196" s="43"/>
      <c r="S196" s="43"/>
      <c r="T196" s="43">
        <v>-20387</v>
      </c>
      <c r="U196" s="43"/>
      <c r="V196" s="43">
        <v>-16578.419999999998</v>
      </c>
      <c r="W196" s="43"/>
      <c r="X196" s="43">
        <v>-24126.58</v>
      </c>
      <c r="Y196" s="65"/>
      <c r="Z196" s="43">
        <v>-28000</v>
      </c>
      <c r="AA196" s="65"/>
      <c r="AB196" s="43">
        <v>-12334.81</v>
      </c>
      <c r="AC196" s="43"/>
      <c r="AD196" s="164">
        <v>-26000</v>
      </c>
    </row>
    <row r="197" spans="1:33" x14ac:dyDescent="0.2">
      <c r="A197" s="55"/>
      <c r="B197" s="55"/>
      <c r="C197" s="56" t="s">
        <v>169</v>
      </c>
      <c r="D197" s="56"/>
      <c r="E197" s="56"/>
      <c r="F197" s="56"/>
      <c r="G197" s="40">
        <v>-1461.42</v>
      </c>
      <c r="H197" s="41"/>
      <c r="I197" s="42"/>
      <c r="J197" s="41"/>
      <c r="K197" s="42">
        <v>0</v>
      </c>
      <c r="L197" s="41"/>
      <c r="M197" s="42">
        <v>0</v>
      </c>
      <c r="N197" s="42"/>
      <c r="O197" s="43"/>
      <c r="P197" s="43">
        <v>-855.49</v>
      </c>
      <c r="Q197" s="43"/>
      <c r="R197" s="43"/>
      <c r="S197" s="43"/>
      <c r="T197" s="43"/>
      <c r="U197" s="43"/>
      <c r="V197" s="43">
        <v>-1318.1</v>
      </c>
      <c r="W197" s="43"/>
      <c r="X197" s="43">
        <v>-960.73</v>
      </c>
      <c r="Y197" s="65"/>
      <c r="Z197" s="43">
        <v>-2000</v>
      </c>
      <c r="AA197" s="65"/>
      <c r="AB197" s="43">
        <v>-318.27999999999997</v>
      </c>
      <c r="AC197" s="43"/>
      <c r="AD197" s="156">
        <v>-1000</v>
      </c>
    </row>
    <row r="198" spans="1:33" ht="12.75" hidden="1" customHeight="1" x14ac:dyDescent="0.2">
      <c r="A198" s="55"/>
      <c r="B198" s="55"/>
      <c r="C198" s="56" t="s">
        <v>170</v>
      </c>
      <c r="D198" s="56"/>
      <c r="E198" s="56"/>
      <c r="F198" s="56"/>
      <c r="H198" s="41"/>
      <c r="I198" s="40">
        <v>1928171.99</v>
      </c>
      <c r="J198" s="41"/>
      <c r="K198" s="42"/>
      <c r="L198" s="41"/>
      <c r="M198" s="42">
        <v>2153486.33</v>
      </c>
      <c r="N198" s="42"/>
      <c r="O198" s="43"/>
      <c r="P198" s="43"/>
      <c r="Q198" s="43"/>
      <c r="R198" s="43"/>
      <c r="S198" s="43"/>
      <c r="T198" s="43"/>
      <c r="U198" s="43"/>
      <c r="V198" s="43">
        <v>234862.92</v>
      </c>
      <c r="W198" s="43"/>
      <c r="X198" s="43"/>
      <c r="Y198" s="65"/>
      <c r="Z198" s="43"/>
      <c r="AA198" s="65"/>
      <c r="AB198" s="43"/>
      <c r="AC198" s="43"/>
      <c r="AD198" s="156"/>
      <c r="AG198" s="101"/>
    </row>
    <row r="199" spans="1:33" ht="16.5" customHeight="1" x14ac:dyDescent="0.2">
      <c r="A199" s="55" t="s">
        <v>171</v>
      </c>
      <c r="B199" s="55"/>
      <c r="C199" s="56"/>
      <c r="D199" s="56"/>
      <c r="E199" s="56"/>
      <c r="F199" s="56"/>
      <c r="G199" s="40"/>
      <c r="H199" s="41"/>
      <c r="I199" s="42"/>
      <c r="J199" s="41"/>
      <c r="K199" s="42"/>
      <c r="L199" s="41"/>
      <c r="M199" s="42"/>
      <c r="N199" s="42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65"/>
      <c r="Z199" s="43"/>
      <c r="AA199" s="65"/>
      <c r="AB199" s="43"/>
      <c r="AC199" s="43"/>
      <c r="AD199" s="156"/>
    </row>
    <row r="200" spans="1:33" x14ac:dyDescent="0.2">
      <c r="A200" s="55"/>
      <c r="B200" s="55" t="s">
        <v>132</v>
      </c>
      <c r="C200" s="56"/>
      <c r="D200" s="56"/>
      <c r="E200" s="56"/>
      <c r="F200" s="56"/>
      <c r="G200" s="40">
        <v>55871.69</v>
      </c>
      <c r="H200" s="41"/>
      <c r="I200" s="45">
        <v>52802.17</v>
      </c>
      <c r="J200" s="41"/>
      <c r="K200" s="42">
        <v>50000</v>
      </c>
      <c r="L200" s="41"/>
      <c r="M200" s="42">
        <v>52500</v>
      </c>
      <c r="N200" s="42">
        <v>50000</v>
      </c>
      <c r="O200" s="43"/>
      <c r="P200" s="43">
        <v>47826</v>
      </c>
      <c r="Q200" s="43"/>
      <c r="R200" s="43"/>
      <c r="S200" s="43"/>
      <c r="T200" s="43">
        <v>50000</v>
      </c>
      <c r="U200" s="43"/>
      <c r="V200" s="43">
        <v>25000</v>
      </c>
      <c r="W200" s="43"/>
      <c r="X200" s="43">
        <v>0</v>
      </c>
      <c r="Y200" s="65"/>
      <c r="Z200" s="121">
        <v>40000</v>
      </c>
      <c r="AA200" s="65"/>
      <c r="AB200" s="43">
        <v>20182.04</v>
      </c>
      <c r="AC200" s="43"/>
      <c r="AD200" s="156">
        <v>40000</v>
      </c>
    </row>
    <row r="201" spans="1:33" x14ac:dyDescent="0.2">
      <c r="A201" s="55"/>
      <c r="B201" s="55" t="s">
        <v>213</v>
      </c>
      <c r="C201" s="56"/>
      <c r="D201" s="56"/>
      <c r="E201" s="56"/>
      <c r="F201" s="56"/>
      <c r="G201" s="40">
        <v>0</v>
      </c>
      <c r="H201" s="41"/>
      <c r="I201" s="40">
        <v>65194.239999999998</v>
      </c>
      <c r="J201" s="41"/>
      <c r="K201" s="42">
        <v>0</v>
      </c>
      <c r="L201" s="41"/>
      <c r="M201" s="42">
        <v>0</v>
      </c>
      <c r="N201" s="42">
        <v>0</v>
      </c>
      <c r="O201" s="43"/>
      <c r="P201" s="43">
        <v>0</v>
      </c>
      <c r="Q201" s="43"/>
      <c r="R201" s="43"/>
      <c r="S201" s="43"/>
      <c r="T201" s="43">
        <v>0</v>
      </c>
      <c r="U201" s="43"/>
      <c r="V201" s="43">
        <v>0</v>
      </c>
      <c r="W201" s="43"/>
      <c r="X201" s="43">
        <v>0</v>
      </c>
      <c r="Y201" s="65"/>
      <c r="Z201" s="121">
        <f>1220*60</f>
        <v>73200</v>
      </c>
      <c r="AA201" s="65"/>
      <c r="AB201" s="43">
        <v>0</v>
      </c>
      <c r="AC201" s="43"/>
      <c r="AD201" s="156">
        <v>19500</v>
      </c>
      <c r="AE201" s="39" t="s">
        <v>241</v>
      </c>
    </row>
    <row r="202" spans="1:33" s="64" customFormat="1" x14ac:dyDescent="0.2">
      <c r="A202" s="55"/>
      <c r="B202" s="55" t="s">
        <v>137</v>
      </c>
      <c r="C202" s="56"/>
      <c r="D202" s="56"/>
      <c r="E202" s="56"/>
      <c r="F202" s="56"/>
      <c r="G202" s="40">
        <v>0</v>
      </c>
      <c r="H202" s="41"/>
      <c r="I202" s="45">
        <v>27500</v>
      </c>
      <c r="J202" s="41"/>
      <c r="K202" s="42">
        <v>40000</v>
      </c>
      <c r="L202" s="41"/>
      <c r="M202" s="42">
        <v>26790</v>
      </c>
      <c r="N202" s="42">
        <v>0</v>
      </c>
      <c r="O202" s="43"/>
      <c r="P202" s="43">
        <v>26790</v>
      </c>
      <c r="Q202" s="43"/>
      <c r="R202" s="43"/>
      <c r="S202" s="43"/>
      <c r="T202" s="43">
        <v>0</v>
      </c>
      <c r="U202" s="43"/>
      <c r="V202" s="43">
        <v>13294.12</v>
      </c>
      <c r="W202" s="43"/>
      <c r="X202" s="43">
        <v>5781.38</v>
      </c>
      <c r="Y202" s="65"/>
      <c r="Z202" s="43">
        <v>0</v>
      </c>
      <c r="AA202" s="65"/>
      <c r="AB202" s="43">
        <v>0</v>
      </c>
      <c r="AC202" s="43"/>
      <c r="AD202" s="156">
        <v>0</v>
      </c>
      <c r="AE202" s="3"/>
    </row>
    <row r="203" spans="1:33" s="37" customFormat="1" hidden="1" x14ac:dyDescent="0.2">
      <c r="A203" s="55"/>
      <c r="B203" s="55" t="s">
        <v>173</v>
      </c>
      <c r="C203" s="56"/>
      <c r="D203" s="56"/>
      <c r="E203" s="56"/>
      <c r="F203" s="56"/>
      <c r="G203" s="40"/>
      <c r="H203" s="41"/>
      <c r="I203" s="45"/>
      <c r="J203" s="41"/>
      <c r="K203" s="42"/>
      <c r="L203" s="41"/>
      <c r="M203" s="42"/>
      <c r="N203" s="42"/>
      <c r="O203" s="43"/>
      <c r="P203" s="43"/>
      <c r="Q203" s="43"/>
      <c r="R203" s="43"/>
      <c r="S203" s="43"/>
      <c r="T203" s="43">
        <v>40000</v>
      </c>
      <c r="U203" s="43"/>
      <c r="V203" s="43">
        <v>0</v>
      </c>
      <c r="W203" s="43"/>
      <c r="X203" s="43">
        <v>0</v>
      </c>
      <c r="Y203" s="65"/>
      <c r="Z203" s="43"/>
      <c r="AA203" s="65"/>
      <c r="AB203" s="43">
        <v>0</v>
      </c>
      <c r="AC203" s="43"/>
      <c r="AD203" s="156"/>
      <c r="AE203" s="64" t="s">
        <v>182</v>
      </c>
    </row>
    <row r="204" spans="1:33" s="129" customFormat="1" x14ac:dyDescent="0.2">
      <c r="A204" s="55"/>
      <c r="B204" s="55" t="s">
        <v>211</v>
      </c>
      <c r="C204" s="56"/>
      <c r="D204" s="56"/>
      <c r="E204" s="56"/>
      <c r="F204" s="56"/>
      <c r="G204" s="40"/>
      <c r="H204" s="41"/>
      <c r="I204" s="45"/>
      <c r="J204" s="41"/>
      <c r="K204" s="42"/>
      <c r="L204" s="41"/>
      <c r="M204" s="42"/>
      <c r="N204" s="42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65"/>
      <c r="Z204" s="43">
        <v>20000</v>
      </c>
      <c r="AA204" s="65"/>
      <c r="AB204" s="43"/>
      <c r="AC204" s="43"/>
      <c r="AD204" s="156">
        <v>20000</v>
      </c>
    </row>
    <row r="205" spans="1:33" x14ac:dyDescent="0.2">
      <c r="A205" s="55"/>
      <c r="B205" s="55" t="s">
        <v>212</v>
      </c>
      <c r="C205" s="56"/>
      <c r="D205" s="56"/>
      <c r="E205" s="56"/>
      <c r="F205" s="56"/>
      <c r="G205" s="57"/>
      <c r="H205" s="41"/>
      <c r="I205" s="60"/>
      <c r="J205" s="41"/>
      <c r="K205" s="42"/>
      <c r="L205" s="41"/>
      <c r="M205" s="58"/>
      <c r="N205" s="42"/>
      <c r="O205" s="43"/>
      <c r="P205" s="43">
        <v>0</v>
      </c>
      <c r="Q205" s="43"/>
      <c r="R205" s="43"/>
      <c r="S205" s="43"/>
      <c r="T205" s="59">
        <v>8000</v>
      </c>
      <c r="U205" s="43"/>
      <c r="V205" s="59">
        <v>0</v>
      </c>
      <c r="W205" s="43"/>
      <c r="X205" s="59">
        <v>0</v>
      </c>
      <c r="Y205" s="79"/>
      <c r="Z205" s="59">
        <v>25000</v>
      </c>
      <c r="AA205" s="79"/>
      <c r="AB205" s="59">
        <v>0</v>
      </c>
      <c r="AC205" s="76"/>
      <c r="AD205" s="158">
        <v>25000</v>
      </c>
      <c r="AE205" s="37"/>
    </row>
    <row r="206" spans="1:33" ht="20.100000000000001" customHeight="1" x14ac:dyDescent="0.2">
      <c r="A206" s="55" t="s">
        <v>133</v>
      </c>
      <c r="B206" s="55"/>
      <c r="C206" s="56"/>
      <c r="D206" s="56"/>
      <c r="E206" s="56"/>
      <c r="F206" s="56"/>
      <c r="G206" s="40">
        <f>ROUND(SUM(G200:G202),5)</f>
        <v>55871.69</v>
      </c>
      <c r="H206" s="41"/>
      <c r="I206" s="40">
        <f>ROUND(SUM(I200:I202),5)</f>
        <v>145496.41</v>
      </c>
      <c r="J206" s="41"/>
      <c r="K206" s="45">
        <f>ROUND(SUM(K200:K202),5)</f>
        <v>90000</v>
      </c>
      <c r="L206" s="41"/>
      <c r="M206" s="45">
        <f>ROUND(SUM(M200:M202),5)</f>
        <v>79290</v>
      </c>
      <c r="N206" s="45">
        <f>ROUND(SUM(N200:N202),5)</f>
        <v>50000</v>
      </c>
      <c r="O206" s="43"/>
      <c r="P206" s="43"/>
      <c r="Q206" s="43"/>
      <c r="R206" s="43"/>
      <c r="S206" s="43"/>
      <c r="T206" s="43">
        <f>SUM(T200:T205)</f>
        <v>98000</v>
      </c>
      <c r="U206" s="43"/>
      <c r="V206" s="43">
        <f>SUM(V200:V205)</f>
        <v>38294.120000000003</v>
      </c>
      <c r="W206" s="43"/>
      <c r="X206" s="43">
        <f>SUM(X200:X205)</f>
        <v>5781.38</v>
      </c>
      <c r="Y206" s="65"/>
      <c r="Z206" s="43">
        <f>SUM(Z200:Z205)</f>
        <v>158200</v>
      </c>
      <c r="AA206" s="65"/>
      <c r="AB206" s="43">
        <f>SUM(AB200:AB205)</f>
        <v>20182.04</v>
      </c>
      <c r="AC206" s="43"/>
      <c r="AD206" s="156">
        <f>SUM(AD200:AD205)</f>
        <v>104500</v>
      </c>
    </row>
    <row r="207" spans="1:33" x14ac:dyDescent="0.2">
      <c r="A207" s="7"/>
      <c r="B207" s="7"/>
      <c r="C207" s="8"/>
      <c r="D207" s="8"/>
      <c r="E207" s="8"/>
      <c r="F207" s="8"/>
      <c r="G207" s="15"/>
      <c r="I207" s="15"/>
    </row>
    <row r="208" spans="1:33" ht="15" customHeight="1" x14ac:dyDescent="0.2">
      <c r="A208" s="172"/>
      <c r="B208" s="172"/>
      <c r="C208" s="172"/>
      <c r="D208" s="172"/>
      <c r="E208" s="172"/>
      <c r="F208" s="172"/>
      <c r="G208" s="172"/>
      <c r="H208" s="172"/>
      <c r="I208" s="172"/>
      <c r="J208" s="172"/>
      <c r="K208" s="172"/>
      <c r="L208" s="172"/>
      <c r="M208" s="172"/>
      <c r="N208" s="172"/>
      <c r="O208" s="172"/>
      <c r="P208" s="172"/>
      <c r="Q208" s="172"/>
      <c r="R208" s="172"/>
      <c r="S208" s="172"/>
      <c r="T208" s="172"/>
      <c r="U208" s="172"/>
      <c r="V208" s="111"/>
      <c r="W208" s="111"/>
      <c r="X208" s="110"/>
    </row>
    <row r="209" spans="1:30" x14ac:dyDescent="0.2">
      <c r="I209" s="112"/>
      <c r="J209" s="108"/>
      <c r="K209" s="108"/>
      <c r="L209" s="108"/>
      <c r="M209" s="113"/>
      <c r="N209" s="109"/>
      <c r="O209" s="110"/>
      <c r="P209" s="110"/>
      <c r="Q209" s="110"/>
      <c r="R209" s="110"/>
      <c r="S209" s="110"/>
      <c r="T209" s="110"/>
      <c r="U209" s="110"/>
      <c r="V209" s="110"/>
      <c r="W209" s="110"/>
      <c r="X209" s="110"/>
    </row>
    <row r="210" spans="1:30" x14ac:dyDescent="0.2">
      <c r="I210" s="112"/>
      <c r="J210" s="108"/>
      <c r="K210" s="108"/>
      <c r="L210" s="108"/>
      <c r="M210" s="109"/>
      <c r="N210" s="109"/>
      <c r="O210" s="110"/>
      <c r="P210" s="110"/>
      <c r="Q210" s="110"/>
      <c r="R210" s="110"/>
      <c r="S210" s="110"/>
      <c r="T210" s="110"/>
      <c r="U210" s="110"/>
      <c r="V210" s="110"/>
      <c r="W210" s="110"/>
      <c r="X210" s="110"/>
    </row>
    <row r="211" spans="1:30" x14ac:dyDescent="0.2">
      <c r="I211" s="108"/>
      <c r="J211" s="108"/>
      <c r="K211" s="108"/>
      <c r="L211" s="108"/>
      <c r="M211" s="113"/>
      <c r="N211" s="109"/>
      <c r="O211" s="110"/>
      <c r="P211" s="110"/>
      <c r="Q211" s="110"/>
      <c r="R211" s="110"/>
      <c r="S211" s="110"/>
      <c r="T211" s="110"/>
      <c r="U211" s="110"/>
      <c r="V211" s="110"/>
      <c r="W211" s="110"/>
      <c r="X211" s="110"/>
    </row>
    <row r="212" spans="1:30" x14ac:dyDescent="0.2">
      <c r="I212" s="112"/>
      <c r="J212" s="112"/>
      <c r="K212" s="112"/>
      <c r="L212" s="112"/>
      <c r="M212" s="113"/>
      <c r="N212" s="113"/>
      <c r="O212" s="114"/>
      <c r="P212" s="114"/>
      <c r="Q212" s="114"/>
      <c r="R212" s="114"/>
      <c r="S212" s="114"/>
      <c r="T212" s="114"/>
      <c r="U212" s="114"/>
      <c r="V212" s="114"/>
      <c r="W212" s="114"/>
      <c r="X212" s="110"/>
    </row>
    <row r="213" spans="1:30" s="117" customFormat="1" x14ac:dyDescent="0.2">
      <c r="A213" s="9"/>
      <c r="B213" s="9"/>
      <c r="C213" s="20"/>
      <c r="D213" s="20"/>
      <c r="E213" s="20"/>
      <c r="F213" s="20"/>
      <c r="G213" s="16"/>
      <c r="H213" s="16"/>
      <c r="I213" s="112"/>
      <c r="J213" s="112"/>
      <c r="K213" s="112"/>
      <c r="L213" s="112"/>
      <c r="M213" s="113"/>
      <c r="N213" s="113"/>
      <c r="O213" s="114"/>
      <c r="P213" s="114"/>
      <c r="Q213" s="114"/>
      <c r="R213" s="114"/>
      <c r="S213" s="114"/>
      <c r="T213" s="114"/>
      <c r="U213" s="114"/>
      <c r="V213" s="114"/>
      <c r="W213" s="114"/>
      <c r="X213" s="110"/>
      <c r="Y213" s="1"/>
      <c r="Z213" s="131"/>
      <c r="AA213" s="1"/>
      <c r="AB213" s="130"/>
      <c r="AC213" s="1"/>
      <c r="AD213" s="1"/>
    </row>
    <row r="214" spans="1:30" x14ac:dyDescent="0.2">
      <c r="I214" s="112"/>
      <c r="J214" s="112"/>
      <c r="K214" s="112"/>
      <c r="L214" s="112"/>
      <c r="M214" s="113"/>
      <c r="N214" s="113"/>
      <c r="O214" s="114"/>
      <c r="P214" s="114"/>
      <c r="Q214" s="114"/>
      <c r="R214" s="114"/>
      <c r="S214" s="114"/>
      <c r="T214" s="114"/>
      <c r="U214" s="114"/>
      <c r="V214" s="114"/>
      <c r="W214" s="114"/>
      <c r="X214" s="110"/>
    </row>
    <row r="215" spans="1:30" x14ac:dyDescent="0.2">
      <c r="I215" s="112"/>
      <c r="J215" s="112"/>
      <c r="K215" s="112"/>
      <c r="L215" s="112"/>
      <c r="M215" s="113"/>
      <c r="N215" s="113"/>
      <c r="O215" s="114"/>
      <c r="P215" s="114"/>
      <c r="Q215" s="114"/>
      <c r="R215" s="114"/>
      <c r="S215" s="114"/>
      <c r="T215" s="114"/>
      <c r="U215" s="114"/>
      <c r="V215" s="114"/>
      <c r="W215" s="114"/>
      <c r="X215" s="110"/>
    </row>
  </sheetData>
  <mergeCells count="3">
    <mergeCell ref="C92:E92"/>
    <mergeCell ref="D83:E83"/>
    <mergeCell ref="A208:U208"/>
  </mergeCells>
  <phoneticPr fontId="12" type="noConversion"/>
  <printOptions gridLines="1"/>
  <pageMargins left="0.5" right="0.25" top="0.75" bottom="0.5" header="0.3" footer="0.3"/>
  <pageSetup fitToHeight="0" orientation="landscape" r:id="rId1"/>
  <headerFooter>
    <oddHeader>&amp;CPacific Swimming 2015-16 Budget</oddHeader>
    <oddFooter>&amp;R&amp;"Arial,Bold"&amp;8 Page &amp;P of &amp;N</oddFooter>
  </headerFooter>
  <ignoredErrors>
    <ignoredError sqref="G147" formulaRange="1"/>
    <ignoredError sqref="G121 I152 P152 P47 P58 R178" emptyCellReferenc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7"/>
  <sheetViews>
    <sheetView topLeftCell="C1" workbookViewId="0">
      <selection activeCell="G20" sqref="G20"/>
    </sheetView>
  </sheetViews>
  <sheetFormatPr defaultColWidth="8.85546875" defaultRowHeight="11.25" x14ac:dyDescent="0.2"/>
  <cols>
    <col min="1" max="1" width="28.42578125" style="3" customWidth="1"/>
    <col min="2" max="2" width="5.42578125" style="3" hidden="1" customWidth="1"/>
    <col min="3" max="3" width="5.7109375" style="3" customWidth="1"/>
    <col min="4" max="4" width="10.5703125" style="3" customWidth="1"/>
    <col min="5" max="5" width="18" style="3" customWidth="1"/>
    <col min="6" max="6" width="1.140625" style="3" customWidth="1"/>
    <col min="7" max="7" width="8.140625" style="21" customWidth="1"/>
    <col min="8" max="8" width="0.85546875" style="3" customWidth="1"/>
    <col min="9" max="9" width="8" style="3" customWidth="1"/>
    <col min="10" max="10" width="10.140625" style="3" hidden="1" customWidth="1"/>
    <col min="11" max="11" width="1.140625" style="3" customWidth="1"/>
    <col min="12" max="12" width="31.42578125" style="3" hidden="1" customWidth="1"/>
    <col min="13" max="13" width="8.28515625" style="3" customWidth="1"/>
    <col min="14" max="14" width="1.140625" style="3" customWidth="1"/>
    <col min="15" max="15" width="7.7109375" style="3" customWidth="1"/>
    <col min="16" max="16" width="1.42578125" style="3" customWidth="1"/>
    <col min="17" max="17" width="8.5703125" style="3" customWidth="1"/>
    <col min="18" max="18" width="4.42578125" style="3" customWidth="1"/>
    <col min="19" max="19" width="1.28515625" style="3" customWidth="1"/>
    <col min="20" max="20" width="8" style="3" customWidth="1"/>
    <col min="21" max="16384" width="8.85546875" style="3"/>
  </cols>
  <sheetData>
    <row r="1" spans="1:22" ht="15" x14ac:dyDescent="0.25">
      <c r="A1" s="14"/>
      <c r="C1" s="4"/>
      <c r="D1" s="4"/>
      <c r="E1" s="4"/>
      <c r="F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spans="1:22" ht="15" x14ac:dyDescent="0.25">
      <c r="A2" s="14"/>
      <c r="B2" s="7"/>
      <c r="C2" s="8"/>
      <c r="D2" s="20"/>
      <c r="E2" s="20"/>
      <c r="F2" s="16"/>
      <c r="G2" s="16"/>
      <c r="H2" s="115"/>
      <c r="I2" s="115"/>
      <c r="J2" s="115"/>
      <c r="K2" s="115"/>
      <c r="L2" s="116"/>
      <c r="M2" s="116"/>
      <c r="N2" s="111"/>
      <c r="O2" s="111"/>
      <c r="P2" s="111"/>
      <c r="Q2" s="111"/>
      <c r="R2" s="111"/>
      <c r="S2" s="111"/>
      <c r="T2" s="111"/>
      <c r="U2" s="111"/>
      <c r="V2" s="76"/>
    </row>
    <row r="3" spans="1:22" ht="12" x14ac:dyDescent="0.2">
      <c r="A3" s="1"/>
      <c r="B3" s="7"/>
      <c r="C3" s="8"/>
      <c r="D3" s="20"/>
      <c r="E3" s="20"/>
      <c r="F3" s="16"/>
      <c r="G3" s="16"/>
      <c r="H3" s="112"/>
      <c r="I3" s="108"/>
      <c r="J3" s="108"/>
      <c r="K3" s="108"/>
      <c r="L3" s="113"/>
      <c r="M3" s="109"/>
      <c r="N3" s="110"/>
      <c r="O3" s="110"/>
      <c r="P3" s="110"/>
      <c r="Q3" s="110"/>
      <c r="R3" s="110"/>
      <c r="S3" s="110"/>
      <c r="T3" s="110"/>
      <c r="U3" s="110"/>
      <c r="V3" s="91"/>
    </row>
    <row r="4" spans="1:22" x14ac:dyDescent="0.2">
      <c r="B4" s="7"/>
      <c r="C4" s="8"/>
      <c r="D4" s="20"/>
      <c r="E4" s="20"/>
      <c r="F4" s="16"/>
      <c r="G4" s="16"/>
      <c r="H4" s="112"/>
      <c r="I4" s="108"/>
      <c r="J4" s="108"/>
      <c r="K4" s="108"/>
      <c r="L4" s="109"/>
      <c r="M4" s="109"/>
      <c r="N4" s="110"/>
      <c r="O4" s="110"/>
      <c r="P4" s="110"/>
      <c r="Q4" s="110"/>
      <c r="R4" s="110"/>
      <c r="S4" s="110"/>
      <c r="T4" s="110"/>
      <c r="U4" s="110"/>
      <c r="V4" s="92"/>
    </row>
    <row r="5" spans="1:22" ht="12.75" customHeight="1" x14ac:dyDescent="0.2">
      <c r="B5" s="7"/>
      <c r="C5" s="8"/>
      <c r="D5" s="20"/>
      <c r="E5" s="20"/>
      <c r="F5" s="16"/>
      <c r="G5" s="16"/>
      <c r="H5" s="108"/>
      <c r="I5" s="108"/>
      <c r="J5" s="108"/>
      <c r="K5" s="108"/>
      <c r="L5" s="113"/>
      <c r="M5" s="109"/>
      <c r="N5" s="110"/>
      <c r="O5" s="110"/>
      <c r="P5" s="110"/>
      <c r="Q5" s="110"/>
      <c r="R5" s="110"/>
      <c r="S5" s="110"/>
      <c r="T5" s="110"/>
      <c r="U5" s="110"/>
      <c r="V5" s="92"/>
    </row>
    <row r="6" spans="1:22" ht="12.75" customHeight="1" x14ac:dyDescent="0.2">
      <c r="A6" s="8"/>
      <c r="B6" s="7"/>
      <c r="C6" s="8"/>
      <c r="D6" s="20"/>
      <c r="E6" s="20"/>
      <c r="F6" s="16"/>
      <c r="G6" s="16"/>
      <c r="H6" s="112"/>
      <c r="I6" s="112"/>
      <c r="J6" s="112"/>
      <c r="K6" s="112"/>
      <c r="L6" s="113"/>
      <c r="M6" s="113"/>
      <c r="N6" s="114"/>
      <c r="O6" s="114"/>
      <c r="P6" s="114"/>
      <c r="Q6" s="114"/>
      <c r="R6" s="114"/>
      <c r="S6" s="114"/>
      <c r="T6" s="114"/>
      <c r="U6" s="114"/>
      <c r="V6" s="93"/>
    </row>
    <row r="7" spans="1:22" x14ac:dyDescent="0.2">
      <c r="B7" s="7"/>
      <c r="C7" s="8"/>
      <c r="D7" s="20"/>
      <c r="E7" s="20"/>
      <c r="F7" s="16"/>
      <c r="G7" s="16"/>
      <c r="H7" s="112"/>
      <c r="I7" s="112"/>
      <c r="J7" s="112"/>
      <c r="K7" s="112"/>
      <c r="L7" s="113"/>
      <c r="M7" s="113"/>
      <c r="N7" s="114"/>
      <c r="O7" s="114"/>
      <c r="P7" s="114"/>
      <c r="Q7" s="114"/>
      <c r="R7" s="114"/>
      <c r="S7" s="114"/>
      <c r="T7" s="114"/>
      <c r="U7" s="114"/>
      <c r="V7" s="45"/>
    </row>
    <row r="8" spans="1:22" x14ac:dyDescent="0.2">
      <c r="B8" s="10"/>
      <c r="C8" s="94"/>
      <c r="D8" s="20"/>
      <c r="E8" s="20"/>
      <c r="F8" s="16"/>
      <c r="G8" s="16"/>
      <c r="H8" s="112"/>
      <c r="I8" s="112"/>
      <c r="J8" s="112"/>
      <c r="K8" s="112"/>
      <c r="L8" s="113"/>
      <c r="M8" s="113"/>
      <c r="N8" s="114"/>
      <c r="O8" s="114"/>
      <c r="P8" s="114"/>
      <c r="Q8" s="114"/>
      <c r="R8" s="114"/>
      <c r="S8" s="114"/>
      <c r="T8" s="114"/>
      <c r="U8" s="114"/>
      <c r="V8" s="4"/>
    </row>
    <row r="9" spans="1:22" x14ac:dyDescent="0.2">
      <c r="B9" s="10"/>
      <c r="C9" s="94"/>
      <c r="D9" s="20"/>
      <c r="E9" s="20"/>
      <c r="F9" s="16"/>
      <c r="G9" s="16"/>
      <c r="H9" s="112"/>
      <c r="I9" s="112"/>
      <c r="J9" s="112"/>
      <c r="K9" s="112"/>
      <c r="L9" s="113"/>
      <c r="M9" s="113"/>
      <c r="N9" s="114"/>
      <c r="O9" s="114"/>
      <c r="P9" s="114"/>
      <c r="Q9" s="114"/>
      <c r="R9" s="114"/>
      <c r="S9" s="114"/>
      <c r="T9" s="114"/>
      <c r="U9" s="114"/>
      <c r="V9" s="4"/>
    </row>
    <row r="10" spans="1:22" x14ac:dyDescent="0.2">
      <c r="B10" s="55"/>
      <c r="C10" s="56"/>
      <c r="D10" s="56"/>
      <c r="E10" s="56"/>
      <c r="F10" s="56"/>
      <c r="G10" s="88"/>
      <c r="H10" s="89"/>
      <c r="I10" s="89"/>
      <c r="J10" s="89"/>
      <c r="K10" s="89"/>
      <c r="L10" s="89"/>
      <c r="M10" s="90"/>
      <c r="N10" s="95"/>
      <c r="O10" s="95"/>
      <c r="P10" s="95"/>
      <c r="Q10" s="95"/>
      <c r="R10" s="95"/>
      <c r="S10" s="95"/>
      <c r="T10" s="95"/>
      <c r="U10" s="96"/>
      <c r="V10" s="4"/>
    </row>
    <row r="11" spans="1:22" x14ac:dyDescent="0.2">
      <c r="B11" s="55"/>
      <c r="C11" s="56"/>
      <c r="D11" s="56"/>
      <c r="E11" s="56"/>
      <c r="F11" s="56"/>
      <c r="G11" s="40"/>
      <c r="H11" s="41"/>
      <c r="I11" s="40"/>
      <c r="J11" s="41"/>
      <c r="K11" s="41"/>
      <c r="L11" s="41"/>
      <c r="M11" s="42"/>
      <c r="N11" s="76"/>
      <c r="O11" s="76"/>
      <c r="P11" s="76"/>
      <c r="Q11" s="76"/>
      <c r="R11" s="76"/>
      <c r="S11" s="76"/>
      <c r="T11" s="76"/>
      <c r="U11" s="79"/>
      <c r="V11" s="4"/>
    </row>
    <row r="12" spans="1:22" x14ac:dyDescent="0.2">
      <c r="B12" s="55"/>
      <c r="C12" s="56"/>
      <c r="D12" s="56"/>
      <c r="E12" s="56"/>
      <c r="F12" s="56"/>
      <c r="G12" s="40"/>
      <c r="H12" s="41"/>
      <c r="I12" s="40"/>
      <c r="J12" s="41"/>
      <c r="K12" s="41"/>
      <c r="L12" s="41"/>
      <c r="M12" s="42"/>
      <c r="N12" s="76"/>
      <c r="O12" s="78"/>
      <c r="P12" s="78"/>
      <c r="Q12" s="78"/>
      <c r="R12" s="78"/>
      <c r="S12" s="78"/>
      <c r="T12" s="78"/>
      <c r="U12" s="79"/>
      <c r="V12" s="97"/>
    </row>
    <row r="13" spans="1:22" x14ac:dyDescent="0.2">
      <c r="B13" s="55"/>
      <c r="C13" s="56"/>
      <c r="D13" s="56"/>
      <c r="E13" s="56"/>
      <c r="F13" s="56"/>
      <c r="G13" s="40"/>
      <c r="H13" s="41"/>
      <c r="I13" s="45"/>
      <c r="J13" s="41"/>
      <c r="K13" s="41"/>
      <c r="L13" s="41"/>
      <c r="M13" s="42"/>
      <c r="N13" s="76"/>
      <c r="O13" s="78"/>
      <c r="P13" s="77"/>
      <c r="Q13" s="78"/>
      <c r="R13" s="78"/>
      <c r="S13" s="77"/>
      <c r="T13" s="78"/>
      <c r="U13" s="79"/>
      <c r="V13" s="97"/>
    </row>
    <row r="14" spans="1:22" x14ac:dyDescent="0.2">
      <c r="A14" s="8"/>
      <c r="B14" s="55"/>
      <c r="C14" s="56"/>
      <c r="D14" s="56"/>
      <c r="E14" s="56"/>
      <c r="F14" s="56"/>
      <c r="G14" s="40"/>
      <c r="H14" s="41"/>
      <c r="I14" s="45"/>
      <c r="J14" s="41"/>
      <c r="K14" s="41"/>
      <c r="L14" s="41"/>
      <c r="M14" s="42"/>
      <c r="N14" s="76"/>
      <c r="O14" s="78"/>
      <c r="P14" s="77"/>
      <c r="Q14" s="78"/>
      <c r="R14" s="78"/>
      <c r="S14" s="77"/>
      <c r="T14" s="78"/>
      <c r="U14" s="79"/>
      <c r="V14" s="97"/>
    </row>
    <row r="15" spans="1:22" x14ac:dyDescent="0.2">
      <c r="A15" s="8"/>
      <c r="B15" s="55"/>
      <c r="C15" s="56"/>
      <c r="D15" s="56"/>
      <c r="E15" s="56"/>
      <c r="F15" s="56"/>
      <c r="G15" s="45"/>
      <c r="H15" s="41"/>
      <c r="I15" s="40"/>
      <c r="J15" s="41"/>
      <c r="K15" s="41"/>
      <c r="L15" s="41"/>
      <c r="M15" s="42"/>
      <c r="N15" s="76"/>
      <c r="O15" s="76"/>
      <c r="P15" s="76"/>
      <c r="Q15" s="76"/>
      <c r="R15" s="76"/>
      <c r="S15" s="76"/>
      <c r="T15" s="78"/>
      <c r="U15" s="79"/>
      <c r="V15" s="97"/>
    </row>
    <row r="16" spans="1:22" x14ac:dyDescent="0.2">
      <c r="B16" s="55"/>
      <c r="C16" s="56"/>
      <c r="D16" s="56"/>
      <c r="E16" s="56"/>
      <c r="F16" s="56"/>
      <c r="G16" s="40"/>
      <c r="H16" s="41"/>
      <c r="I16" s="40"/>
      <c r="J16" s="41"/>
      <c r="K16" s="41"/>
      <c r="L16" s="41"/>
      <c r="M16" s="42"/>
      <c r="N16" s="76"/>
      <c r="O16" s="76"/>
      <c r="P16" s="76"/>
      <c r="Q16" s="76"/>
      <c r="R16" s="76"/>
      <c r="S16" s="76"/>
      <c r="T16" s="76"/>
      <c r="U16" s="79"/>
      <c r="V16" s="97"/>
    </row>
    <row r="17" spans="2:27" x14ac:dyDescent="0.2">
      <c r="B17" s="55"/>
      <c r="C17" s="56"/>
      <c r="D17" s="56"/>
      <c r="E17" s="56"/>
      <c r="F17" s="56"/>
      <c r="G17" s="40"/>
      <c r="H17" s="41"/>
      <c r="I17" s="40"/>
      <c r="J17" s="41"/>
      <c r="K17" s="41"/>
      <c r="L17" s="41"/>
      <c r="M17" s="42"/>
      <c r="N17" s="76"/>
      <c r="O17" s="76"/>
      <c r="P17" s="76"/>
      <c r="Q17" s="76"/>
      <c r="R17" s="76"/>
      <c r="S17" s="76"/>
      <c r="T17" s="76"/>
      <c r="U17" s="79"/>
      <c r="V17" s="97"/>
    </row>
    <row r="18" spans="2:27" x14ac:dyDescent="0.2">
      <c r="B18" s="55"/>
      <c r="C18" s="56"/>
      <c r="D18" s="56"/>
      <c r="E18" s="56"/>
      <c r="F18" s="56"/>
      <c r="G18" s="40"/>
      <c r="H18" s="41"/>
      <c r="I18" s="45"/>
      <c r="J18" s="41"/>
      <c r="K18" s="41"/>
      <c r="L18" s="41"/>
      <c r="M18" s="42"/>
      <c r="N18" s="76"/>
      <c r="O18" s="76"/>
      <c r="P18" s="76"/>
      <c r="Q18" s="76"/>
      <c r="R18" s="76"/>
      <c r="S18" s="76"/>
      <c r="T18" s="76"/>
      <c r="U18" s="79"/>
      <c r="V18" s="97"/>
    </row>
    <row r="19" spans="2:27" x14ac:dyDescent="0.2">
      <c r="B19" s="55"/>
      <c r="C19" s="56"/>
      <c r="D19" s="56"/>
      <c r="E19" s="56"/>
      <c r="F19" s="56"/>
      <c r="G19" s="40"/>
      <c r="H19" s="41"/>
      <c r="I19" s="40"/>
      <c r="J19" s="41"/>
      <c r="K19" s="40"/>
      <c r="L19" s="41"/>
      <c r="M19" s="40"/>
      <c r="N19" s="76"/>
      <c r="O19" s="40"/>
      <c r="P19" s="40"/>
      <c r="Q19" s="40"/>
      <c r="R19" s="40"/>
      <c r="S19" s="40"/>
      <c r="T19" s="40"/>
      <c r="U19" s="84"/>
      <c r="V19" s="4"/>
    </row>
    <row r="20" spans="2:27" x14ac:dyDescent="0.2">
      <c r="B20" s="10"/>
      <c r="C20" s="94"/>
      <c r="D20" s="94"/>
      <c r="E20" s="94"/>
      <c r="F20" s="94"/>
      <c r="H20" s="94"/>
      <c r="I20" s="94"/>
      <c r="J20" s="9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</row>
    <row r="21" spans="2:27" x14ac:dyDescent="0.2">
      <c r="B21" s="10"/>
      <c r="C21" s="10"/>
      <c r="D21" s="10"/>
      <c r="E21" s="10"/>
      <c r="F21" s="10"/>
      <c r="H21" s="10"/>
      <c r="I21" s="10"/>
      <c r="J21" s="10"/>
    </row>
    <row r="22" spans="2:27" x14ac:dyDescent="0.2">
      <c r="B22" s="7"/>
      <c r="C22" s="8"/>
      <c r="D22" s="8"/>
      <c r="E22" s="8"/>
      <c r="F22" s="8"/>
      <c r="G22" s="40"/>
      <c r="H22" s="41"/>
      <c r="I22" s="41"/>
      <c r="J22" s="41"/>
      <c r="K22" s="41"/>
      <c r="L22" s="41"/>
      <c r="M22" s="42"/>
      <c r="N22" s="42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65"/>
      <c r="AA22" s="5"/>
    </row>
    <row r="23" spans="2:27" ht="12" x14ac:dyDescent="0.2">
      <c r="B23" s="7"/>
      <c r="C23" s="8"/>
      <c r="D23" s="8"/>
      <c r="E23" s="8"/>
      <c r="F23" s="8"/>
      <c r="G23" s="40"/>
      <c r="H23" s="41"/>
      <c r="I23" s="47"/>
      <c r="J23" s="41"/>
      <c r="K23" s="41"/>
      <c r="L23" s="41"/>
      <c r="M23" s="42"/>
      <c r="N23" s="44"/>
      <c r="O23" s="54"/>
      <c r="P23" s="43"/>
      <c r="Q23" s="54"/>
      <c r="R23" s="43"/>
      <c r="S23" s="54"/>
      <c r="T23" s="54"/>
      <c r="U23" s="54"/>
      <c r="V23" s="81"/>
      <c r="W23" s="68"/>
      <c r="X23" s="54"/>
      <c r="Y23" s="68"/>
      <c r="Z23" s="65"/>
      <c r="AA23" s="81"/>
    </row>
    <row r="24" spans="2:27" x14ac:dyDescent="0.2">
      <c r="B24" s="7"/>
      <c r="C24" s="8"/>
      <c r="D24" s="8"/>
      <c r="E24" s="8"/>
      <c r="F24" s="8"/>
      <c r="G24" s="40"/>
      <c r="H24" s="41"/>
      <c r="I24" s="40"/>
      <c r="J24" s="41"/>
      <c r="K24" s="41"/>
      <c r="L24" s="41"/>
      <c r="M24" s="42"/>
      <c r="N24" s="42"/>
      <c r="O24" s="54"/>
      <c r="P24" s="43"/>
      <c r="Q24" s="54"/>
      <c r="R24" s="43"/>
      <c r="S24" s="54"/>
      <c r="T24" s="54"/>
      <c r="U24" s="78"/>
      <c r="V24" s="82"/>
      <c r="W24" s="54"/>
      <c r="X24" s="54"/>
      <c r="Y24" s="54"/>
      <c r="Z24" s="65"/>
      <c r="AA24" s="82"/>
    </row>
    <row r="25" spans="2:27" x14ac:dyDescent="0.2">
      <c r="B25" s="7"/>
      <c r="C25" s="8"/>
      <c r="D25" s="8"/>
      <c r="E25" s="8"/>
      <c r="F25" s="8"/>
      <c r="G25" s="40"/>
      <c r="H25" s="41"/>
      <c r="I25" s="40"/>
      <c r="J25" s="41"/>
      <c r="K25" s="41"/>
      <c r="L25" s="41"/>
      <c r="M25" s="42"/>
      <c r="N25" s="42"/>
      <c r="O25" s="54"/>
      <c r="P25" s="43"/>
      <c r="Q25" s="54"/>
      <c r="R25" s="43"/>
      <c r="S25" s="54"/>
      <c r="T25" s="54"/>
      <c r="U25" s="54"/>
      <c r="V25" s="82"/>
      <c r="W25" s="54"/>
      <c r="X25" s="54"/>
      <c r="Y25" s="54"/>
      <c r="Z25" s="65"/>
      <c r="AA25" s="82"/>
    </row>
    <row r="26" spans="2:27" x14ac:dyDescent="0.2">
      <c r="B26" s="7"/>
      <c r="C26" s="8"/>
      <c r="D26" s="8"/>
      <c r="E26" s="8"/>
      <c r="F26" s="8"/>
      <c r="G26" s="40"/>
      <c r="H26" s="41"/>
      <c r="I26" s="45"/>
      <c r="J26" s="41"/>
      <c r="K26" s="41"/>
      <c r="L26" s="41"/>
      <c r="M26" s="42"/>
      <c r="N26" s="44"/>
      <c r="O26" s="78"/>
      <c r="P26" s="76"/>
      <c r="Q26" s="78"/>
      <c r="R26" s="76"/>
      <c r="S26" s="78"/>
      <c r="T26" s="78"/>
      <c r="U26" s="78"/>
      <c r="V26" s="83"/>
      <c r="W26" s="77"/>
      <c r="X26" s="78"/>
      <c r="Y26" s="77"/>
      <c r="Z26" s="79"/>
      <c r="AA26" s="83"/>
    </row>
    <row r="27" spans="2:27" x14ac:dyDescent="0.2">
      <c r="B27" s="7"/>
      <c r="C27" s="8"/>
      <c r="D27" s="8"/>
      <c r="E27" s="8"/>
      <c r="F27" s="8"/>
      <c r="G27" s="40"/>
      <c r="H27" s="48"/>
      <c r="I27" s="40"/>
      <c r="J27" s="48"/>
      <c r="K27" s="40"/>
      <c r="L27" s="48"/>
      <c r="M27" s="40"/>
      <c r="N27" s="46"/>
      <c r="O27" s="45"/>
      <c r="P27" s="40"/>
      <c r="Q27" s="45"/>
      <c r="R27" s="76"/>
      <c r="S27" s="45"/>
      <c r="T27" s="45"/>
      <c r="U27" s="45"/>
      <c r="V27" s="45"/>
      <c r="W27" s="45"/>
      <c r="X27" s="45"/>
      <c r="Y27" s="45"/>
      <c r="Z27" s="46"/>
      <c r="AA27" s="5"/>
    </row>
    <row r="28" spans="2:27" x14ac:dyDescent="0.2">
      <c r="B28" s="10"/>
      <c r="C28" s="10"/>
      <c r="D28" s="10"/>
      <c r="E28" s="10"/>
      <c r="F28" s="10"/>
      <c r="H28" s="10"/>
      <c r="I28" s="10"/>
      <c r="J28" s="10"/>
    </row>
    <row r="29" spans="2:27" x14ac:dyDescent="0.2">
      <c r="B29" s="10"/>
      <c r="C29" s="10"/>
      <c r="D29" s="10"/>
      <c r="E29" s="10"/>
      <c r="F29" s="10"/>
      <c r="H29" s="10"/>
      <c r="I29" s="10"/>
      <c r="J29" s="10"/>
    </row>
    <row r="30" spans="2:27" x14ac:dyDescent="0.2">
      <c r="B30" s="10"/>
      <c r="C30" s="10"/>
      <c r="D30" s="10"/>
      <c r="E30" s="10"/>
      <c r="F30" s="10"/>
      <c r="H30" s="10"/>
      <c r="I30" s="10"/>
      <c r="J30" s="12"/>
    </row>
    <row r="31" spans="2:27" x14ac:dyDescent="0.2">
      <c r="B31" s="10"/>
      <c r="C31" s="10"/>
      <c r="D31" s="10"/>
      <c r="E31" s="10"/>
      <c r="F31" s="10"/>
      <c r="H31" s="10"/>
      <c r="I31" s="10"/>
      <c r="J31" s="10"/>
    </row>
    <row r="32" spans="2:27" ht="12" thickBot="1" x14ac:dyDescent="0.25">
      <c r="B32" s="10"/>
      <c r="C32" s="10"/>
      <c r="D32" s="10"/>
      <c r="E32" s="10"/>
      <c r="F32" s="10"/>
      <c r="H32" s="10"/>
      <c r="I32" s="10"/>
      <c r="J32" s="13"/>
    </row>
    <row r="33" spans="1:10" ht="12" thickTop="1" x14ac:dyDescent="0.2">
      <c r="B33" s="10"/>
      <c r="C33" s="10"/>
      <c r="D33" s="10"/>
      <c r="E33" s="10"/>
      <c r="F33" s="10"/>
      <c r="H33" s="10"/>
      <c r="I33" s="10"/>
      <c r="J33" s="21"/>
    </row>
    <row r="34" spans="1:10" ht="12.75" x14ac:dyDescent="0.2">
      <c r="A34" s="22"/>
      <c r="B34" s="10"/>
      <c r="C34" s="10"/>
      <c r="D34" s="10"/>
      <c r="E34" s="10"/>
      <c r="F34" s="10"/>
      <c r="H34" s="10"/>
      <c r="I34" s="10"/>
      <c r="J34" s="10"/>
    </row>
    <row r="35" spans="1:10" x14ac:dyDescent="0.2">
      <c r="B35" s="10"/>
      <c r="C35" s="10"/>
      <c r="D35" s="10"/>
      <c r="E35" s="10"/>
      <c r="F35" s="10"/>
      <c r="H35" s="10"/>
      <c r="I35" s="10"/>
      <c r="J35" s="10"/>
    </row>
    <row r="36" spans="1:10" x14ac:dyDescent="0.2">
      <c r="B36" s="10"/>
      <c r="C36" s="10"/>
      <c r="D36" s="10"/>
      <c r="E36" s="10"/>
      <c r="F36" s="10"/>
      <c r="H36" s="10"/>
      <c r="I36" s="10"/>
      <c r="J36" s="10"/>
    </row>
    <row r="37" spans="1:10" x14ac:dyDescent="0.2">
      <c r="B37" s="10"/>
      <c r="C37" s="10"/>
      <c r="D37" s="10"/>
      <c r="E37" s="10"/>
      <c r="F37" s="10"/>
      <c r="H37" s="10"/>
      <c r="I37" s="10"/>
      <c r="J37" s="11"/>
    </row>
    <row r="39" spans="1:10" x14ac:dyDescent="0.2">
      <c r="H39" s="1"/>
      <c r="I39" s="1"/>
      <c r="J39" s="21"/>
    </row>
    <row r="40" spans="1:10" x14ac:dyDescent="0.2">
      <c r="J40" s="4"/>
    </row>
    <row r="41" spans="1:10" x14ac:dyDescent="0.2">
      <c r="A41" s="173"/>
      <c r="B41" s="173"/>
      <c r="C41" s="173"/>
      <c r="D41" s="173"/>
      <c r="E41" s="173"/>
      <c r="F41" s="173"/>
      <c r="G41" s="173"/>
      <c r="H41" s="173"/>
      <c r="I41" s="173"/>
      <c r="J41" s="173"/>
    </row>
    <row r="43" spans="1:10" x14ac:dyDescent="0.2">
      <c r="A43" s="174"/>
      <c r="B43" s="174"/>
      <c r="C43" s="174"/>
      <c r="D43" s="174"/>
      <c r="E43" s="174"/>
      <c r="F43" s="174"/>
      <c r="G43" s="174"/>
      <c r="H43" s="174"/>
      <c r="I43" s="174"/>
      <c r="J43" s="174"/>
    </row>
    <row r="44" spans="1:10" x14ac:dyDescent="0.2">
      <c r="A44" s="23"/>
      <c r="B44" s="17"/>
      <c r="C44" s="27"/>
      <c r="D44" s="17"/>
    </row>
    <row r="45" spans="1:10" x14ac:dyDescent="0.2">
      <c r="A45" s="25"/>
      <c r="B45" s="24"/>
      <c r="C45" s="27"/>
    </row>
    <row r="46" spans="1:10" x14ac:dyDescent="0.2">
      <c r="A46" s="23"/>
      <c r="B46" s="17"/>
      <c r="C46" s="27"/>
    </row>
    <row r="47" spans="1:10" x14ac:dyDescent="0.2">
      <c r="A47" s="23"/>
      <c r="B47" s="26"/>
      <c r="C47" s="28"/>
    </row>
  </sheetData>
  <mergeCells count="2">
    <mergeCell ref="A41:J41"/>
    <mergeCell ref="A43:J43"/>
  </mergeCells>
  <phoneticPr fontId="12" type="noConversion"/>
  <pageMargins left="0.2" right="0.2" top="0.75" bottom="0.75" header="0.3" footer="0.3"/>
  <pageSetup orientation="landscape" r:id="rId1"/>
  <headerFooter>
    <oddFooter>&amp;L&amp;D&amp;CPrepared by TeamWorks, Inc.&amp;R&amp;F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2016-17 Planning Budget</vt:lpstr>
      <vt:lpstr>Sheet2</vt:lpstr>
      <vt:lpstr>Sheet3</vt:lpstr>
      <vt:lpstr>Sheet 2</vt:lpstr>
      <vt:lpstr>'2016-17 Planning Budget'!Print_Area</vt:lpstr>
      <vt:lpstr>'2016-17 Planning Budget'!Print_Titles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 Clay</dc:creator>
  <cp:lastModifiedBy>Cindy</cp:lastModifiedBy>
  <cp:lastPrinted>2016-03-23T00:33:09Z</cp:lastPrinted>
  <dcterms:created xsi:type="dcterms:W3CDTF">2012-04-19T23:40:08Z</dcterms:created>
  <dcterms:modified xsi:type="dcterms:W3CDTF">2016-04-08T23:40:26Z</dcterms:modified>
</cp:coreProperties>
</file>